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065" windowHeight="13155" activeTab="0"/>
  </bookViews>
  <sheets>
    <sheet name="IPC-2152" sheetId="1" r:id="rId1"/>
    <sheet name="CV" sheetId="2" r:id="rId2"/>
    <sheet name="CVmod-Planes" sheetId="3" r:id="rId3"/>
    <sheet name="CVmod-Material" sheetId="4" r:id="rId4"/>
    <sheet name="CVmod-Thickness" sheetId="5" r:id="rId5"/>
    <sheet name="CVmod-Ounce" sheetId="6" r:id="rId6"/>
    <sheet name="CVtoWIDTH" sheetId="7" r:id="rId7"/>
  </sheets>
  <definedNames/>
  <calcPr fullCalcOnLoad="1"/>
</workbook>
</file>

<file path=xl/comments1.xml><?xml version="1.0" encoding="utf-8"?>
<comments xmlns="http://schemas.openxmlformats.org/spreadsheetml/2006/main">
  <authors>
    <author>Jack C Olson</author>
  </authors>
  <commentList>
    <comment ref="J4" authorId="0">
      <text>
        <r>
          <rPr>
            <b/>
            <sz val="8"/>
            <rFont val="Arial"/>
            <family val="2"/>
          </rPr>
          <t>enter "0" if no plane exists</t>
        </r>
      </text>
    </comment>
    <comment ref="D9" authorId="0">
      <text>
        <r>
          <rPr>
            <b/>
            <sz val="8"/>
            <rFont val="Arial"/>
            <family val="2"/>
          </rPr>
          <t>IPC-2152 data is only verified for traces with cross-sectional area between .127 - 17.78 square mm</t>
        </r>
      </text>
    </comment>
    <comment ref="M4" authorId="0">
      <text>
        <r>
          <rPr>
            <b/>
            <sz val="8"/>
            <rFont val="Tahoma"/>
            <family val="0"/>
          </rPr>
          <t>not accurate below 1000 or above 2400</t>
        </r>
      </text>
    </comment>
  </commentList>
</comments>
</file>

<file path=xl/comments6.xml><?xml version="1.0" encoding="utf-8"?>
<comments xmlns="http://schemas.openxmlformats.org/spreadsheetml/2006/main">
  <authors>
    <author>Jack C Olson</author>
  </authors>
  <commentList>
    <comment ref="G15" authorId="0">
      <text>
        <r>
          <rPr>
            <b/>
            <sz val="8"/>
            <rFont val="Tahoma"/>
            <family val="0"/>
          </rPr>
          <t>Jack C Olson:</t>
        </r>
        <r>
          <rPr>
            <sz val="8"/>
            <rFont val="Tahoma"/>
            <family val="0"/>
          </rPr>
          <t xml:space="preserve">
different on charts
</t>
        </r>
      </text>
    </comment>
  </commentList>
</comments>
</file>

<file path=xl/sharedStrings.xml><?xml version="1.0" encoding="utf-8"?>
<sst xmlns="http://schemas.openxmlformats.org/spreadsheetml/2006/main" count="232" uniqueCount="124">
  <si>
    <t>100 C</t>
  </si>
  <si>
    <t>30A</t>
  </si>
  <si>
    <t>20A</t>
  </si>
  <si>
    <t>5A</t>
  </si>
  <si>
    <t>1A</t>
  </si>
  <si>
    <t>2.5A</t>
  </si>
  <si>
    <t>0.5 OZ</t>
  </si>
  <si>
    <t>75 C</t>
  </si>
  <si>
    <t>10 C</t>
  </si>
  <si>
    <t>45 C</t>
  </si>
  <si>
    <t>20 C</t>
  </si>
  <si>
    <t>2 OZ</t>
  </si>
  <si>
    <t>1 OZ</t>
  </si>
  <si>
    <t>3 OZ</t>
  </si>
  <si>
    <t>10A</t>
  </si>
  <si>
    <t>100C</t>
  </si>
  <si>
    <t>2-3</t>
  </si>
  <si>
    <t>1-3</t>
  </si>
  <si>
    <t>.5-3</t>
  </si>
  <si>
    <t>75C</t>
  </si>
  <si>
    <t>45C</t>
  </si>
  <si>
    <t>20C</t>
  </si>
  <si>
    <t>10C</t>
  </si>
  <si>
    <t>Ave</t>
  </si>
  <si>
    <t>2oz</t>
  </si>
  <si>
    <t>1oz</t>
  </si>
  <si>
    <t>.5oz</t>
  </si>
  <si>
    <t>material</t>
  </si>
  <si>
    <t>Poly</t>
  </si>
  <si>
    <t>conductivity</t>
  </si>
  <si>
    <t>thickness</t>
  </si>
  <si>
    <t>distance</t>
  </si>
  <si>
    <t>Chart Value</t>
  </si>
  <si>
    <t>For 2oz planes</t>
  </si>
  <si>
    <t>adjust 4%</t>
  </si>
  <si>
    <t xml:space="preserve">For planes larger </t>
  </si>
  <si>
    <t>trace adjust</t>
  </si>
  <si>
    <t>plane adjust</t>
  </si>
  <si>
    <t>FR4</t>
  </si>
  <si>
    <t>none</t>
  </si>
  <si>
    <t>area adjust</t>
  </si>
  <si>
    <t>distance adjust</t>
  </si>
  <si>
    <t>63.637^(1.9386)</t>
  </si>
  <si>
    <t>15.663x^(1.8121)</t>
  </si>
  <si>
    <t>27.987x^(1.8658)</t>
  </si>
  <si>
    <t>125.49x^(1.9817)</t>
  </si>
  <si>
    <t>8.868x^(1.7655)</t>
  </si>
  <si>
    <t>6.5379x^(1.7433)</t>
  </si>
  <si>
    <t>4.8512x^(1.7175)</t>
  </si>
  <si>
    <t>3.9366x^(1.6997)</t>
  </si>
  <si>
    <t>3.3749x^(1.686)</t>
  </si>
  <si>
    <t>2.7506x^(1.6686)</t>
  </si>
  <si>
    <t>27.987^(1.8658)</t>
  </si>
  <si>
    <t>15.663^(1.8121)</t>
  </si>
  <si>
    <t>8.868^(1.7655)</t>
  </si>
  <si>
    <t>6.5379^(1.7433)</t>
  </si>
  <si>
    <t>4.8512^(1.7175)</t>
  </si>
  <si>
    <t>3.9366^(1.6997)</t>
  </si>
  <si>
    <t>3.3749^(1.686)</t>
  </si>
  <si>
    <t>2.7506^(1.6686)</t>
  </si>
  <si>
    <t>63.637x^(1.9386)</t>
  </si>
  <si>
    <t>.5OZ</t>
  </si>
  <si>
    <t>1OZ</t>
  </si>
  <si>
    <t>2OZ</t>
  </si>
  <si>
    <t>3OZ</t>
  </si>
  <si>
    <t>-0.0352*LN(x)-0.0827</t>
  </si>
  <si>
    <t>-0.0185*LN(x)-0.0139</t>
  </si>
  <si>
    <t>rise</t>
  </si>
  <si>
    <t>area</t>
  </si>
  <si>
    <t>oz</t>
  </si>
  <si>
    <t>oz adjust</t>
  </si>
  <si>
    <t>IF(D7=2,63.637*D6^(1.9386),IF(D7=5,27.987*D6^(1.8658),IF(D7=10,15.663*D6^(1.8121),IF(D7=20,8.868*D6^(1.7655),IF(D7=30,6.5379*D6^(1.7433),IF(D7=45,4.8512*D6^(1.7175),IF(D7=60,3.9366*D6^(1.6997),IF(D7=100,2.7506*D6^(1.6686)))))))))</t>
  </si>
  <si>
    <t>multiplier</t>
  </si>
  <si>
    <t>25.959x^ -0.7666</t>
  </si>
  <si>
    <t>(pick)</t>
  </si>
  <si>
    <t>.0031x+0.4054</t>
  </si>
  <si>
    <t>thick adjust</t>
  </si>
  <si>
    <t>material adj</t>
  </si>
  <si>
    <t>than 20 square inches"</t>
  </si>
  <si>
    <t>than 40 square inches"</t>
  </si>
  <si>
    <t>new multiplier</t>
  </si>
  <si>
    <t>There is not enough information in IPC-2152 Appendix A to create an accurate response curve, but this equation approximates the multiplier inside the range of test data, reduces the risk for thinner (greater multiplier) and a more conservative multiplier for thicker boards. Boards less than 28 or more than 94 will generate warning</t>
  </si>
  <si>
    <t>adjust 2%</t>
  </si>
  <si>
    <t>From IPC-2152 figure A-13, used most conservative numbers for 1oz plane on small board area. In calculator, if area is larger, additional percentage is applied</t>
  </si>
  <si>
    <t>equiv.temp</t>
  </si>
  <si>
    <t>derate adjust</t>
  </si>
  <si>
    <t>Chart Width</t>
  </si>
  <si>
    <t>start multiplier</t>
  </si>
  <si>
    <t>adjusted CV</t>
  </si>
  <si>
    <t>T(lowercurve)</t>
  </si>
  <si>
    <t>T(highercurve)</t>
  </si>
  <si>
    <t>PTFE</t>
  </si>
  <si>
    <t>CV to width</t>
  </si>
  <si>
    <t>plane</t>
  </si>
  <si>
    <t>chart  value</t>
  </si>
  <si>
    <t>CV[T(lo),I(input)]</t>
  </si>
  <si>
    <t>CV[T(hi),I(input)]</t>
  </si>
  <si>
    <t>http://FrontDoor.biz/PCBportal/HowTo2152.pdf</t>
  </si>
  <si>
    <t>Use these estimates at your own risk….  Derating is strongly encouraged!</t>
  </si>
  <si>
    <r>
      <t>For smaller boards, IPC-2152 Figure 5-1 should be used (Conservative Chart).</t>
    </r>
    <r>
      <rPr>
        <sz val="12"/>
        <color indexed="55"/>
        <rFont val="Courier New Greek"/>
        <family val="3"/>
      </rPr>
      <t xml:space="preserve"> </t>
    </r>
  </si>
  <si>
    <t>a gift from Jack and Borko</t>
  </si>
  <si>
    <t>&lt;12900</t>
  </si>
  <si>
    <t>&gt;12900</t>
  </si>
  <si>
    <t>&gt;25800</t>
  </si>
  <si>
    <t xml:space="preserve">Trace Width Calculator - METRIC </t>
  </si>
  <si>
    <t>(based on IPC-2152, "Determining Current Carrying Capacity in Printed Board Design")</t>
  </si>
  <si>
    <t>requirement</t>
  </si>
  <si>
    <t>copper thickness</t>
  </si>
  <si>
    <t>nearest plane</t>
  </si>
  <si>
    <t>board</t>
  </si>
  <si>
    <t>safety margin</t>
  </si>
  <si>
    <t>thickness (um)</t>
  </si>
  <si>
    <t>distance (um)</t>
  </si>
  <si>
    <t>trace (um)</t>
  </si>
  <si>
    <t>plane (um)</t>
  </si>
  <si>
    <t>current (A)</t>
  </si>
  <si>
    <t xml:space="preserve">temp rise </t>
  </si>
  <si>
    <t>area (mm²)</t>
  </si>
  <si>
    <t xml:space="preserve">This calculator uses data from IPC-2152 Figure 5-2 (Universal Chart), which should only be used if the board area is at least 80 square mm  </t>
  </si>
  <si>
    <t xml:space="preserve">derating (%) </t>
  </si>
  <si>
    <t>WIDTH (mm)</t>
  </si>
  <si>
    <t xml:space="preserve">version 3.14159265   </t>
  </si>
  <si>
    <t>only valid from 0.71-2.39 mm</t>
  </si>
  <si>
    <t>The original article "Determining Circuit Board Current Carrying Capability" that appeared in Printed Circuit Design &amp; Fab / Circuits Assembly magazine (Dec2009) proposed a method of using an estimated cross-sectional area for a given currrent and temperature rise, and then modifying the cross-sectional area for specific design parameters. This approach was incorrect, because IPC-2152 Appendix A describes changes in expected temperature rise, not cross-sectional area. This calculator performs the adjustments correctly, using "equivalent temperatures".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</si>
</sst>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"/>
    <numFmt numFmtId="174" formatCode="0.0000000"/>
  </numFmts>
  <fonts count="47">
    <font>
      <sz val="12"/>
      <name val="Courier New Greek"/>
      <family val="0"/>
    </font>
    <font>
      <sz val="4.5"/>
      <name val="Arial"/>
      <family val="0"/>
    </font>
    <font>
      <sz val="5"/>
      <name val="Arial"/>
      <family val="0"/>
    </font>
    <font>
      <sz val="12"/>
      <name val="Arial"/>
      <family val="2"/>
    </font>
    <font>
      <b/>
      <sz val="9.5"/>
      <color indexed="5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Arial"/>
      <family val="0"/>
    </font>
    <font>
      <b/>
      <sz val="11"/>
      <color indexed="58"/>
      <name val="Arial"/>
      <family val="2"/>
    </font>
    <font>
      <b/>
      <sz val="10"/>
      <color indexed="58"/>
      <name val="Arial"/>
      <family val="2"/>
    </font>
    <font>
      <sz val="9.5"/>
      <name val="Arial"/>
      <family val="0"/>
    </font>
    <font>
      <sz val="9"/>
      <name val="Arial"/>
      <family val="0"/>
    </font>
    <font>
      <b/>
      <sz val="9.75"/>
      <color indexed="58"/>
      <name val="Arial"/>
      <family val="2"/>
    </font>
    <font>
      <sz val="14.5"/>
      <name val="Arial"/>
      <family val="0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12"/>
      <color indexed="58"/>
      <name val="Arial"/>
      <family val="2"/>
    </font>
    <font>
      <b/>
      <sz val="18"/>
      <name val="Arial"/>
      <family val="2"/>
    </font>
    <font>
      <strike/>
      <sz val="10"/>
      <name val="Arial"/>
      <family val="2"/>
    </font>
    <font>
      <sz val="16.25"/>
      <name val="Courier New Greek"/>
      <family val="0"/>
    </font>
    <font>
      <sz val="18.25"/>
      <name val="Courier New Greek"/>
      <family val="0"/>
    </font>
    <font>
      <sz val="13"/>
      <name val="Arial"/>
      <family val="2"/>
    </font>
    <font>
      <u val="single"/>
      <sz val="12"/>
      <color indexed="12"/>
      <name val="Courier New Greek"/>
      <family val="0"/>
    </font>
    <font>
      <u val="single"/>
      <sz val="12"/>
      <color indexed="36"/>
      <name val="Courier New Greek"/>
      <family val="0"/>
    </font>
    <font>
      <sz val="8"/>
      <name val="Arial"/>
      <family val="2"/>
    </font>
    <font>
      <b/>
      <sz val="19.5"/>
      <name val="Courier New Greek"/>
      <family val="0"/>
    </font>
    <font>
      <b/>
      <sz val="18.25"/>
      <name val="Courier New Greek"/>
      <family val="0"/>
    </font>
    <font>
      <b/>
      <sz val="10"/>
      <name val="Arial"/>
      <family val="2"/>
    </font>
    <font>
      <b/>
      <sz val="10"/>
      <color indexed="55"/>
      <name val="Arial"/>
      <family val="2"/>
    </font>
    <font>
      <sz val="11"/>
      <color indexed="8"/>
      <name val="Arial"/>
      <family val="2"/>
    </font>
    <font>
      <b/>
      <sz val="12"/>
      <color indexed="22"/>
      <name val="Arial"/>
      <family val="2"/>
    </font>
    <font>
      <sz val="10"/>
      <color indexed="22"/>
      <name val="Arial"/>
      <family val="2"/>
    </font>
    <font>
      <sz val="12"/>
      <color indexed="55"/>
      <name val="Arial"/>
      <family val="2"/>
    </font>
    <font>
      <sz val="9"/>
      <name val="Courier New Greek"/>
      <family val="3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b/>
      <sz val="8"/>
      <name val="Arial"/>
      <family val="2"/>
    </font>
    <font>
      <sz val="12"/>
      <color indexed="55"/>
      <name val="Courier New Greek"/>
      <family val="3"/>
    </font>
    <font>
      <b/>
      <u val="single"/>
      <sz val="10"/>
      <color indexed="55"/>
      <name val="Arial"/>
      <family val="2"/>
    </font>
    <font>
      <sz val="10"/>
      <color indexed="55"/>
      <name val="Arial"/>
      <family val="2"/>
    </font>
    <font>
      <b/>
      <sz val="10"/>
      <color indexed="23"/>
      <name val="Arial"/>
      <family val="2"/>
    </font>
    <font>
      <vertAlign val="superscript"/>
      <sz val="18.25"/>
      <name val="Courier New Greek"/>
      <family val="0"/>
    </font>
    <font>
      <b/>
      <vertAlign val="superscript"/>
      <sz val="12"/>
      <color indexed="58"/>
      <name val="Arial"/>
      <family val="2"/>
    </font>
    <font>
      <sz val="8"/>
      <color indexed="55"/>
      <name val="Arial"/>
      <family val="2"/>
    </font>
    <font>
      <b/>
      <sz val="8"/>
      <name val="Courier New Greek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</fills>
  <borders count="6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vertical="center"/>
    </xf>
    <xf numFmtId="0" fontId="0" fillId="2" borderId="4" xfId="0" applyFont="1" applyFill="1" applyBorder="1" applyAlignment="1">
      <alignment/>
    </xf>
    <xf numFmtId="0" fontId="7" fillId="0" borderId="0" xfId="21">
      <alignment/>
      <protection/>
    </xf>
    <xf numFmtId="0" fontId="0" fillId="0" borderId="0" xfId="0" applyBorder="1" applyAlignment="1">
      <alignment/>
    </xf>
    <xf numFmtId="0" fontId="9" fillId="0" borderId="5" xfId="21" applyFont="1" applyBorder="1" applyAlignment="1">
      <alignment horizontal="center"/>
      <protection/>
    </xf>
    <xf numFmtId="0" fontId="9" fillId="0" borderId="6" xfId="21" applyFont="1" applyBorder="1" applyAlignment="1">
      <alignment horizontal="center"/>
      <protection/>
    </xf>
    <xf numFmtId="0" fontId="9" fillId="0" borderId="7" xfId="21" applyFont="1" applyBorder="1" applyAlignment="1">
      <alignment horizontal="center"/>
      <protection/>
    </xf>
    <xf numFmtId="0" fontId="9" fillId="0" borderId="8" xfId="21" applyFont="1" applyBorder="1" applyAlignment="1">
      <alignment horizontal="center"/>
      <protection/>
    </xf>
    <xf numFmtId="2" fontId="9" fillId="0" borderId="9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9" fillId="0" borderId="0" xfId="21" applyFont="1">
      <alignment/>
      <protection/>
    </xf>
    <xf numFmtId="172" fontId="3" fillId="3" borderId="2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9" fillId="4" borderId="26" xfId="21" applyFont="1" applyFill="1" applyBorder="1" applyAlignment="1">
      <alignment horizontal="center"/>
      <protection/>
    </xf>
    <xf numFmtId="0" fontId="9" fillId="4" borderId="27" xfId="21" applyFont="1" applyFill="1" applyBorder="1" applyAlignment="1">
      <alignment horizontal="center"/>
      <protection/>
    </xf>
    <xf numFmtId="0" fontId="3" fillId="0" borderId="0" xfId="0" applyFont="1" applyAlignment="1">
      <alignment horizontal="right"/>
    </xf>
    <xf numFmtId="0" fontId="15" fillId="3" borderId="22" xfId="0" applyFont="1" applyFill="1" applyBorder="1" applyAlignment="1">
      <alignment horizontal="left" vertical="center"/>
    </xf>
    <xf numFmtId="0" fontId="9" fillId="0" borderId="25" xfId="21" applyFont="1" applyBorder="1" applyAlignment="1">
      <alignment horizontal="center"/>
      <protection/>
    </xf>
    <xf numFmtId="0" fontId="9" fillId="0" borderId="30" xfId="21" applyFont="1" applyBorder="1" applyAlignment="1">
      <alignment horizontal="center"/>
      <protection/>
    </xf>
    <xf numFmtId="0" fontId="27" fillId="0" borderId="7" xfId="21" applyFont="1" applyBorder="1" applyAlignment="1">
      <alignment horizontal="center"/>
      <protection/>
    </xf>
    <xf numFmtId="0" fontId="27" fillId="0" borderId="8" xfId="21" applyFont="1" applyBorder="1" applyAlignment="1">
      <alignment horizontal="center"/>
      <protection/>
    </xf>
    <xf numFmtId="0" fontId="3" fillId="2" borderId="31" xfId="0" applyFont="1" applyFill="1" applyBorder="1" applyAlignment="1">
      <alignment vertical="center"/>
    </xf>
    <xf numFmtId="0" fontId="0" fillId="2" borderId="32" xfId="0" applyFont="1" applyFill="1" applyBorder="1" applyAlignment="1">
      <alignment/>
    </xf>
    <xf numFmtId="0" fontId="3" fillId="2" borderId="33" xfId="0" applyFont="1" applyFill="1" applyBorder="1" applyAlignment="1">
      <alignment vertical="center"/>
    </xf>
    <xf numFmtId="0" fontId="30" fillId="2" borderId="34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left" vertical="center"/>
    </xf>
    <xf numFmtId="0" fontId="15" fillId="5" borderId="35" xfId="0" applyFont="1" applyFill="1" applyBorder="1" applyAlignment="1" applyProtection="1">
      <alignment horizontal="center" vertical="center"/>
      <protection locked="0"/>
    </xf>
    <xf numFmtId="0" fontId="3" fillId="3" borderId="28" xfId="0" applyFont="1" applyFill="1" applyBorder="1" applyAlignment="1">
      <alignment vertical="center"/>
    </xf>
    <xf numFmtId="172" fontId="3" fillId="3" borderId="29" xfId="0" applyNumberFormat="1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left" vertical="center"/>
    </xf>
    <xf numFmtId="0" fontId="32" fillId="3" borderId="28" xfId="0" applyFont="1" applyFill="1" applyBorder="1" applyAlignment="1">
      <alignment horizontal="left" vertical="center"/>
    </xf>
    <xf numFmtId="2" fontId="32" fillId="3" borderId="31" xfId="0" applyNumberFormat="1" applyFont="1" applyFill="1" applyBorder="1" applyAlignment="1">
      <alignment horizontal="center" vertical="center"/>
    </xf>
    <xf numFmtId="0" fontId="15" fillId="3" borderId="36" xfId="0" applyFont="1" applyFill="1" applyBorder="1" applyAlignment="1" applyProtection="1">
      <alignment horizontal="center" vertical="center"/>
      <protection locked="0"/>
    </xf>
    <xf numFmtId="172" fontId="3" fillId="3" borderId="36" xfId="0" applyNumberFormat="1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/>
    </xf>
    <xf numFmtId="0" fontId="0" fillId="3" borderId="26" xfId="0" applyFont="1" applyFill="1" applyBorder="1" applyAlignment="1">
      <alignment/>
    </xf>
    <xf numFmtId="0" fontId="15" fillId="3" borderId="37" xfId="0" applyFont="1" applyFill="1" applyBorder="1" applyAlignment="1">
      <alignment horizontal="left" vertical="center"/>
    </xf>
    <xf numFmtId="0" fontId="15" fillId="5" borderId="38" xfId="0" applyFont="1" applyFill="1" applyBorder="1" applyAlignment="1" applyProtection="1">
      <alignment horizontal="center" vertical="center"/>
      <protection locked="0"/>
    </xf>
    <xf numFmtId="0" fontId="15" fillId="3" borderId="39" xfId="0" applyFont="1" applyFill="1" applyBorder="1" applyAlignment="1">
      <alignment horizontal="left" vertical="center"/>
    </xf>
    <xf numFmtId="0" fontId="36" fillId="3" borderId="24" xfId="0" applyFont="1" applyFill="1" applyBorder="1" applyAlignment="1">
      <alignment horizontal="left" vertical="center"/>
    </xf>
    <xf numFmtId="1" fontId="37" fillId="3" borderId="40" xfId="0" applyNumberFormat="1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0" fontId="36" fillId="3" borderId="32" xfId="0" applyFont="1" applyFill="1" applyBorder="1" applyAlignment="1">
      <alignment vertical="center"/>
    </xf>
    <xf numFmtId="0" fontId="36" fillId="3" borderId="32" xfId="0" applyFont="1" applyFill="1" applyBorder="1" applyAlignment="1">
      <alignment horizontal="left" vertical="center"/>
    </xf>
    <xf numFmtId="173" fontId="36" fillId="3" borderId="40" xfId="0" applyNumberFormat="1" applyFont="1" applyFill="1" applyBorder="1" applyAlignment="1">
      <alignment horizontal="center" vertical="center"/>
    </xf>
    <xf numFmtId="0" fontId="36" fillId="3" borderId="39" xfId="0" applyFont="1" applyFill="1" applyBorder="1" applyAlignment="1">
      <alignment vertical="center"/>
    </xf>
    <xf numFmtId="1" fontId="36" fillId="3" borderId="29" xfId="0" applyNumberFormat="1" applyFont="1" applyFill="1" applyBorder="1" applyAlignment="1">
      <alignment horizontal="center" vertical="center"/>
    </xf>
    <xf numFmtId="0" fontId="36" fillId="3" borderId="5" xfId="0" applyFont="1" applyFill="1" applyBorder="1" applyAlignment="1">
      <alignment vertical="center"/>
    </xf>
    <xf numFmtId="172" fontId="36" fillId="3" borderId="31" xfId="0" applyNumberFormat="1" applyFont="1" applyFill="1" applyBorder="1" applyAlignment="1">
      <alignment horizontal="center" vertical="center"/>
    </xf>
    <xf numFmtId="172" fontId="36" fillId="3" borderId="6" xfId="0" applyNumberFormat="1" applyFont="1" applyFill="1" applyBorder="1" applyAlignment="1">
      <alignment horizontal="center" vertical="center"/>
    </xf>
    <xf numFmtId="172" fontId="36" fillId="3" borderId="25" xfId="0" applyNumberFormat="1" applyFont="1" applyFill="1" applyBorder="1" applyAlignment="1">
      <alignment horizontal="center" vertical="center"/>
    </xf>
    <xf numFmtId="0" fontId="42" fillId="2" borderId="34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39" fillId="0" borderId="41" xfId="0" applyFont="1" applyFill="1" applyBorder="1" applyAlignment="1">
      <alignment/>
    </xf>
    <xf numFmtId="0" fontId="39" fillId="0" borderId="42" xfId="0" applyFont="1" applyFill="1" applyBorder="1" applyAlignment="1">
      <alignment/>
    </xf>
    <xf numFmtId="0" fontId="39" fillId="0" borderId="42" xfId="0" applyFont="1" applyFill="1" applyBorder="1" applyAlignment="1">
      <alignment horizontal="center"/>
    </xf>
    <xf numFmtId="0" fontId="39" fillId="0" borderId="43" xfId="0" applyFont="1" applyFill="1" applyBorder="1" applyAlignment="1">
      <alignment/>
    </xf>
    <xf numFmtId="0" fontId="0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9" fillId="0" borderId="44" xfId="0" applyFont="1" applyFill="1" applyBorder="1" applyAlignment="1">
      <alignment/>
    </xf>
    <xf numFmtId="0" fontId="39" fillId="0" borderId="45" xfId="0" applyFont="1" applyFill="1" applyBorder="1" applyAlignment="1">
      <alignment/>
    </xf>
    <xf numFmtId="0" fontId="39" fillId="0" borderId="0" xfId="0" applyFont="1" applyFill="1" applyAlignment="1">
      <alignment vertical="top"/>
    </xf>
    <xf numFmtId="0" fontId="41" fillId="0" borderId="44" xfId="0" applyFont="1" applyFill="1" applyBorder="1" applyAlignment="1">
      <alignment horizontal="left" vertical="top" wrapText="1"/>
    </xf>
    <xf numFmtId="0" fontId="41" fillId="0" borderId="45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31" fillId="0" borderId="46" xfId="0" applyFont="1" applyFill="1" applyBorder="1" applyAlignment="1">
      <alignment horizontal="left" vertical="top" wrapText="1"/>
    </xf>
    <xf numFmtId="0" fontId="31" fillId="0" borderId="47" xfId="0" applyFont="1" applyFill="1" applyBorder="1" applyAlignment="1">
      <alignment horizontal="left" vertical="top" wrapText="1"/>
    </xf>
    <xf numFmtId="0" fontId="31" fillId="0" borderId="48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34" fillId="0" borderId="49" xfId="0" applyFont="1" applyFill="1" applyBorder="1" applyAlignment="1">
      <alignment/>
    </xf>
    <xf numFmtId="0" fontId="34" fillId="0" borderId="17" xfId="0" applyFont="1" applyFill="1" applyBorder="1" applyAlignment="1">
      <alignment horizontal="center"/>
    </xf>
    <xf numFmtId="0" fontId="35" fillId="0" borderId="0" xfId="0" applyFont="1" applyFill="1" applyAlignment="1">
      <alignment/>
    </xf>
    <xf numFmtId="0" fontId="34" fillId="0" borderId="49" xfId="0" applyFont="1" applyFill="1" applyBorder="1" applyAlignment="1">
      <alignment horizontal="left"/>
    </xf>
    <xf numFmtId="0" fontId="35" fillId="0" borderId="9" xfId="0" applyFont="1" applyFill="1" applyBorder="1" applyAlignment="1">
      <alignment horizontal="center"/>
    </xf>
    <xf numFmtId="0" fontId="7" fillId="0" borderId="50" xfId="0" applyFont="1" applyFill="1" applyBorder="1" applyAlignment="1">
      <alignment/>
    </xf>
    <xf numFmtId="0" fontId="7" fillId="0" borderId="50" xfId="0" applyFont="1" applyFill="1" applyBorder="1" applyAlignment="1">
      <alignment horizontal="center"/>
    </xf>
    <xf numFmtId="49" fontId="11" fillId="0" borderId="51" xfId="0" applyNumberFormat="1" applyFont="1" applyFill="1" applyBorder="1" applyAlignment="1">
      <alignment/>
    </xf>
    <xf numFmtId="0" fontId="7" fillId="0" borderId="52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51" xfId="0" applyFont="1" applyFill="1" applyBorder="1" applyAlignment="1">
      <alignment/>
    </xf>
    <xf numFmtId="0" fontId="7" fillId="0" borderId="51" xfId="0" applyFont="1" applyFill="1" applyBorder="1" applyAlignment="1">
      <alignment horizontal="left"/>
    </xf>
    <xf numFmtId="0" fontId="7" fillId="0" borderId="53" xfId="0" applyFont="1" applyFill="1" applyBorder="1" applyAlignment="1">
      <alignment horizontal="center"/>
    </xf>
    <xf numFmtId="0" fontId="7" fillId="0" borderId="52" xfId="0" applyFont="1" applyFill="1" applyBorder="1" applyAlignment="1">
      <alignment/>
    </xf>
    <xf numFmtId="0" fontId="11" fillId="0" borderId="4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49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54" xfId="0" applyFont="1" applyFill="1" applyBorder="1" applyAlignment="1">
      <alignment horizontal="center" vertical="top" wrapText="1"/>
    </xf>
    <xf numFmtId="0" fontId="11" fillId="0" borderId="55" xfId="0" applyFont="1" applyFill="1" applyBorder="1" applyAlignment="1">
      <alignment horizontal="center" vertical="top" wrapText="1"/>
    </xf>
    <xf numFmtId="0" fontId="11" fillId="0" borderId="56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34" fillId="0" borderId="54" xfId="0" applyFont="1" applyFill="1" applyBorder="1" applyAlignment="1">
      <alignment/>
    </xf>
    <xf numFmtId="0" fontId="34" fillId="0" borderId="56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53" xfId="0" applyFont="1" applyFill="1" applyBorder="1" applyAlignment="1">
      <alignment horizontal="center" vertical="top" wrapText="1"/>
    </xf>
    <xf numFmtId="2" fontId="7" fillId="0" borderId="54" xfId="0" applyNumberFormat="1" applyFont="1" applyFill="1" applyBorder="1" applyAlignment="1">
      <alignment/>
    </xf>
    <xf numFmtId="0" fontId="7" fillId="0" borderId="56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2" fontId="7" fillId="0" borderId="51" xfId="0" applyNumberFormat="1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8" fillId="0" borderId="19" xfId="0" applyFont="1" applyFill="1" applyBorder="1" applyAlignment="1">
      <alignment horizontal="center"/>
    </xf>
    <xf numFmtId="2" fontId="11" fillId="0" borderId="53" xfId="0" applyNumberFormat="1" applyFont="1" applyFill="1" applyBorder="1" applyAlignment="1">
      <alignment horizontal="center" vertical="top" wrapText="1"/>
    </xf>
    <xf numFmtId="0" fontId="33" fillId="0" borderId="0" xfId="0" applyFont="1" applyFill="1" applyAlignment="1">
      <alignment horizontal="center"/>
    </xf>
    <xf numFmtId="2" fontId="7" fillId="0" borderId="49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 vertical="top" wrapText="1"/>
    </xf>
    <xf numFmtId="0" fontId="11" fillId="0" borderId="57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/>
    </xf>
    <xf numFmtId="173" fontId="16" fillId="6" borderId="35" xfId="0" applyNumberFormat="1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/>
    </xf>
    <xf numFmtId="49" fontId="42" fillId="2" borderId="34" xfId="0" applyNumberFormat="1" applyFont="1" applyFill="1" applyBorder="1" applyAlignment="1">
      <alignment horizontal="right" vertical="center"/>
    </xf>
    <xf numFmtId="0" fontId="41" fillId="0" borderId="0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top" wrapText="1"/>
    </xf>
    <xf numFmtId="0" fontId="15" fillId="7" borderId="58" xfId="0" applyFont="1" applyFill="1" applyBorder="1" applyAlignment="1">
      <alignment horizontal="center" vertical="center"/>
    </xf>
    <xf numFmtId="0" fontId="15" fillId="7" borderId="59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0" fillId="0" borderId="42" xfId="20" applyFont="1" applyFill="1" applyBorder="1" applyAlignment="1">
      <alignment horizontal="center"/>
    </xf>
    <xf numFmtId="0" fontId="29" fillId="2" borderId="34" xfId="0" applyFont="1" applyFill="1" applyBorder="1" applyAlignment="1">
      <alignment horizontal="center" vertical="center"/>
    </xf>
    <xf numFmtId="0" fontId="15" fillId="0" borderId="58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9" fillId="0" borderId="0" xfId="21" applyFont="1" applyAlignment="1">
      <alignment vertical="top" wrapText="1"/>
      <protection/>
    </xf>
    <xf numFmtId="0" fontId="7" fillId="0" borderId="0" xfId="21" applyAlignment="1">
      <alignment vertical="top" wrapText="1"/>
      <protection/>
    </xf>
    <xf numFmtId="0" fontId="9" fillId="0" borderId="0" xfId="21" applyFont="1" applyAlignment="1">
      <alignment horizontal="left" wrapText="1"/>
      <protection/>
    </xf>
    <xf numFmtId="0" fontId="9" fillId="0" borderId="58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4" borderId="58" xfId="0" applyFont="1" applyFill="1" applyBorder="1" applyAlignment="1">
      <alignment horizontal="center"/>
    </xf>
    <xf numFmtId="0" fontId="9" fillId="4" borderId="60" xfId="0" applyFont="1" applyFill="1" applyBorder="1" applyAlignment="1">
      <alignment horizontal="center"/>
    </xf>
    <xf numFmtId="0" fontId="9" fillId="4" borderId="5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5" fillId="0" borderId="0" xfId="0" applyFont="1" applyFill="1" applyBorder="1" applyAlignment="1">
      <alignment horizontal="center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PC-2152CVmod" xfId="21"/>
    <cellStyle name="Percent" xfId="22"/>
  </cellStyles>
  <dxfs count="1">
    <dxf>
      <font>
        <color rgb="FFFF0000"/>
      </font>
      <fill>
        <patternFill>
          <bgColor rgb="FF33333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latin typeface="Courier New Greek"/>
                <a:ea typeface="Courier New Greek"/>
                <a:cs typeface="Courier New Greek"/>
              </a:rPr>
              <a:t>Universal (Int&amp;Ext.Air)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045"/>
          <c:w val="0.778"/>
          <c:h val="0.83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'CV'!$B$42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'CV'!$C$43:$C$54</c:f>
              <c:numCache/>
            </c:numRef>
          </c:xVal>
          <c:yVal>
            <c:numRef>
              <c:f>'CV'!$B$43:$B$54</c:f>
              <c:numCache/>
            </c:numRef>
          </c:yVal>
          <c:smooth val="1"/>
        </c:ser>
        <c:ser>
          <c:idx val="1"/>
          <c:order val="1"/>
          <c:tx>
            <c:strRef>
              <c:f>'CV'!$J$57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'CV'!$K$58:$K$69</c:f>
              <c:numCache/>
            </c:numRef>
          </c:xVal>
          <c:yVal>
            <c:numRef>
              <c:f>'CV'!$J$58:$J$69</c:f>
              <c:numCache/>
            </c:numRef>
          </c:yVal>
          <c:smooth val="1"/>
        </c:ser>
        <c:ser>
          <c:idx val="2"/>
          <c:order val="2"/>
          <c:tx>
            <c:strRef>
              <c:f>'CV'!$J$42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'CV'!$K$43:$K$54</c:f>
              <c:numCache/>
            </c:numRef>
          </c:xVal>
          <c:yVal>
            <c:numRef>
              <c:f>'CV'!$J$43:$J$54</c:f>
              <c:numCache/>
            </c:numRef>
          </c:yVal>
          <c:smooth val="1"/>
        </c:ser>
        <c:ser>
          <c:idx val="3"/>
          <c:order val="3"/>
          <c:tx>
            <c:strRef>
              <c:f>'CV'!$D$42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'CV'!$E$43:$E$54</c:f>
              <c:numCache/>
            </c:numRef>
          </c:xVal>
          <c:yVal>
            <c:numRef>
              <c:f>'CV'!$D$43:$D$54</c:f>
              <c:numCache/>
            </c:numRef>
          </c:yVal>
          <c:smooth val="1"/>
        </c:ser>
        <c:ser>
          <c:idx val="4"/>
          <c:order val="4"/>
          <c:tx>
            <c:strRef>
              <c:f>'CV'!$F$42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'CV'!$G$43:$G$54</c:f>
              <c:numCache/>
            </c:numRef>
          </c:xVal>
          <c:yVal>
            <c:numRef>
              <c:f>'CV'!$F$43:$F$54</c:f>
              <c:numCache/>
            </c:numRef>
          </c:yVal>
          <c:smooth val="1"/>
        </c:ser>
        <c:ser>
          <c:idx val="5"/>
          <c:order val="5"/>
          <c:tx>
            <c:v>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'CV'!$I$43:$I$54</c:f>
              <c:numCache/>
            </c:numRef>
          </c:xVal>
          <c:yVal>
            <c:numRef>
              <c:f>'CV'!$H$43:$H$54</c:f>
              <c:numCache/>
            </c:numRef>
          </c:yVal>
          <c:smooth val="1"/>
        </c:ser>
        <c:ser>
          <c:idx val="6"/>
          <c:order val="6"/>
          <c:tx>
            <c:v>30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'CV'!$C$58:$C$69</c:f>
              <c:numCache/>
            </c:numRef>
          </c:xVal>
          <c:yVal>
            <c:numRef>
              <c:f>'CV'!$B$58:$B$69</c:f>
              <c:numCache/>
            </c:numRef>
          </c:yVal>
          <c:smooth val="1"/>
        </c:ser>
        <c:ser>
          <c:idx val="7"/>
          <c:order val="7"/>
          <c:tx>
            <c:v>45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'CV'!$E$58:$E$69</c:f>
              <c:numCache/>
            </c:numRef>
          </c:xVal>
          <c:yVal>
            <c:numRef>
              <c:f>'CV'!$D$58:$D$69</c:f>
              <c:numCache/>
            </c:numRef>
          </c:yVal>
          <c:smooth val="1"/>
        </c:ser>
        <c:ser>
          <c:idx val="8"/>
          <c:order val="8"/>
          <c:tx>
            <c:v>60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'CV'!$G$58:$G$69</c:f>
              <c:numCache/>
            </c:numRef>
          </c:xVal>
          <c:yVal>
            <c:numRef>
              <c:f>'CV'!$F$58:$F$69</c:f>
              <c:numCache/>
            </c:numRef>
          </c:yVal>
          <c:smooth val="1"/>
        </c:ser>
        <c:ser>
          <c:idx val="9"/>
          <c:order val="9"/>
          <c:tx>
            <c:v>75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'CV'!$I$58:$I$69</c:f>
              <c:numCache/>
            </c:numRef>
          </c:xVal>
          <c:yVal>
            <c:numRef>
              <c:f>'CV'!$H$58:$H$69</c:f>
              <c:numCache/>
            </c:numRef>
          </c:yVal>
          <c:smooth val="1"/>
        </c:ser>
        <c:axId val="52567596"/>
        <c:axId val="3346317"/>
      </c:scatterChart>
      <c:valAx>
        <c:axId val="52567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Courier New Greek"/>
                    <a:ea typeface="Courier New Greek"/>
                    <a:cs typeface="Courier New Greek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346317"/>
        <c:crosses val="autoZero"/>
        <c:crossBetween val="midCat"/>
        <c:dispUnits/>
      </c:valAx>
      <c:valAx>
        <c:axId val="3346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Courier New Greek"/>
                    <a:ea typeface="Courier New Greek"/>
                    <a:cs typeface="Courier New Greek"/>
                  </a:rPr>
                  <a:t>Cross-Sectional 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5675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2085"/>
        </c:manualLayout>
      </c:layout>
      <c:overlay val="0"/>
      <c:txPr>
        <a:bodyPr vert="horz" rot="0"/>
        <a:lstStyle/>
        <a:p>
          <a:pPr>
            <a:defRPr lang="en-US" cap="none" sz="13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urier New Greek"/>
          <a:ea typeface="Courier New Greek"/>
          <a:cs typeface="Courier New Greek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3300"/>
                </a:solidFill>
              </a:rPr>
              <a:t>Modifying the Chart Value for Proximity to Planes </a:t>
            </a:r>
          </a:p>
        </c:rich>
      </c:tx>
      <c:layout>
        <c:manualLayout>
          <c:xMode val="factor"/>
          <c:yMode val="factor"/>
          <c:x val="0.044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05875"/>
          <c:w val="0.931"/>
          <c:h val="0.904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3300"/>
                </a:solidFill>
              </a:ln>
            </c:spPr>
            <c:trendlineType val="linear"/>
            <c:forward val="5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'CVmod-Planes'!$A$2:$A$4</c:f>
              <c:numCache/>
            </c:numRef>
          </c:xVal>
          <c:yVal>
            <c:numRef>
              <c:f>'CVmod-Planes'!$B$2:$B$4</c:f>
              <c:numCache/>
            </c:numRef>
          </c:yVal>
          <c:smooth val="0"/>
        </c:ser>
        <c:axId val="30116854"/>
        <c:axId val="2616231"/>
      </c:scatterChart>
      <c:valAx>
        <c:axId val="3011685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00"/>
                    </a:solidFill>
                  </a:rPr>
                  <a:t>z-axis distance to nearest plane (mils)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33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2616231"/>
        <c:crosses val="autoZero"/>
        <c:crossBetween val="midCat"/>
        <c:dispUnits/>
      </c:valAx>
      <c:valAx>
        <c:axId val="26162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00"/>
                    </a:solidFill>
                  </a:rPr>
                  <a:t>percentage multiplier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33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30116854"/>
        <c:crosses val="autoZero"/>
        <c:crossBetween val="midCat"/>
        <c:dispUnits/>
      </c:valAx>
      <c:spPr>
        <a:noFill/>
        <a:ln w="25400">
          <a:solidFill>
            <a:srgbClr val="0033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3300"/>
                </a:solidFill>
              </a:rPr>
              <a:t>Modifying the Chart Value for Thermal Conductivity</a:t>
            </a:r>
          </a:p>
        </c:rich>
      </c:tx>
      <c:layout>
        <c:manualLayout>
          <c:xMode val="factor"/>
          <c:yMode val="factor"/>
          <c:x val="0.061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585"/>
          <c:w val="0.933"/>
          <c:h val="0.876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3300"/>
                </a:solidFill>
              </a:ln>
            </c:spPr>
            <c:trendlineType val="linear"/>
            <c:forward val="0.06"/>
            <c:backward val="0.0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'CVmod-Material'!$A$2:$A$3</c:f>
              <c:numCache/>
            </c:numRef>
          </c:xVal>
          <c:yVal>
            <c:numRef>
              <c:f>'CVmod-Material'!$B$2:$B$3</c:f>
              <c:numCache/>
            </c:numRef>
          </c:yVal>
          <c:smooth val="0"/>
        </c:ser>
        <c:axId val="23546080"/>
        <c:axId val="10588129"/>
      </c:scatterChart>
      <c:valAx>
        <c:axId val="23546080"/>
        <c:scaling>
          <c:orientation val="minMax"/>
          <c:max val="0.2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00"/>
                    </a:solidFill>
                  </a:rPr>
                  <a:t>thermal conductivity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0.00" sourceLinked="0"/>
        <c:majorTickMark val="none"/>
        <c:minorTickMark val="none"/>
        <c:tickLblPos val="low"/>
        <c:spPr>
          <a:ln w="3175">
            <a:solidFill>
              <a:srgbClr val="FFCC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10588129"/>
        <c:crosses val="autoZero"/>
        <c:crossBetween val="midCat"/>
        <c:dispUnits/>
        <c:majorUnit val="0.01"/>
        <c:minorUnit val="0.001"/>
      </c:valAx>
      <c:valAx>
        <c:axId val="10588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00"/>
                    </a:solidFill>
                  </a:rPr>
                  <a:t>percentage multiplier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ln w="3175">
            <a:solidFill>
              <a:srgbClr val="0033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23546080"/>
        <c:crosses val="autoZero"/>
        <c:crossBetween val="midCat"/>
        <c:dispUnits/>
      </c:valAx>
      <c:spPr>
        <a:noFill/>
        <a:ln w="25400">
          <a:solidFill>
            <a:srgbClr val="0033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3300"/>
                </a:solidFill>
              </a:rPr>
              <a:t>Modifying the Chart Value for Material Thickness</a:t>
            </a:r>
          </a:p>
        </c:rich>
      </c:tx>
      <c:layout>
        <c:manualLayout>
          <c:xMode val="factor"/>
          <c:yMode val="factor"/>
          <c:x val="0.04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5875"/>
          <c:w val="0.93125"/>
          <c:h val="0.8985"/>
        </c:manualLayout>
      </c:layout>
      <c:scatterChart>
        <c:scatterStyle val="lineMarker"/>
        <c:varyColors val="0"/>
        <c:ser>
          <c:idx val="1"/>
          <c:order val="0"/>
          <c:tx>
            <c:v>thickness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wer"/>
            <c:forward val="24"/>
            <c:backward val="10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'CVmod-Thickness'!$A$2:$A$4</c:f>
              <c:numCache/>
            </c:numRef>
          </c:xVal>
          <c:yVal>
            <c:numRef>
              <c:f>'CVmod-Thickness'!$B$2:$B$4</c:f>
              <c:numCache/>
            </c:numRef>
          </c:yVal>
          <c:smooth val="0"/>
        </c:ser>
        <c:axId val="28184298"/>
        <c:axId val="52332091"/>
      </c:scatterChart>
      <c:valAx>
        <c:axId val="2818429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3300"/>
                    </a:solidFill>
                  </a:rPr>
                  <a:t>total board thickness (mils)</a:t>
                </a:r>
              </a:p>
            </c:rich>
          </c:tx>
          <c:layout>
            <c:manualLayout>
              <c:xMode val="factor"/>
              <c:yMode val="factor"/>
              <c:x val="0.007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CC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52332091"/>
        <c:crosses val="autoZero"/>
        <c:crossBetween val="midCat"/>
        <c:dispUnits/>
        <c:majorUnit val="10"/>
      </c:valAx>
      <c:valAx>
        <c:axId val="52332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3300"/>
                    </a:solidFill>
                  </a:rPr>
                  <a:t>percentage multiplier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33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28184298"/>
        <c:crosses val="autoZero"/>
        <c:crossBetween val="midCat"/>
        <c:dispUnits/>
      </c:valAx>
      <c:spPr>
        <a:noFill/>
        <a:ln w="25400">
          <a:solidFill>
            <a:srgbClr val="0033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3300"/>
                </a:solidFill>
              </a:rPr>
              <a:t>Modifying the Chart Value for Copper Thickness</a:t>
            </a:r>
          </a:p>
        </c:rich>
      </c:tx>
      <c:layout>
        <c:manualLayout>
          <c:xMode val="factor"/>
          <c:yMode val="factor"/>
          <c:x val="0.037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57"/>
          <c:w val="0.9062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'CVmod-Ounce'!$K$32</c:f>
              <c:strCache>
                <c:ptCount val="1"/>
                <c:pt idx="0">
                  <c:v>.5oz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'CVmod-Ounce'!$J$24:$J$28</c:f>
              <c:numCache/>
            </c:numRef>
          </c:xVal>
          <c:yVal>
            <c:numRef>
              <c:f>'CVmod-Ounce'!$K$33:$K$37</c:f>
              <c:numCache/>
            </c:numRef>
          </c:yVal>
          <c:smooth val="1"/>
        </c:ser>
        <c:ser>
          <c:idx val="1"/>
          <c:order val="1"/>
          <c:tx>
            <c:strRef>
              <c:f>'CVmod-Ounce'!$L$32</c:f>
              <c:strCache>
                <c:ptCount val="1"/>
                <c:pt idx="0">
                  <c:v>1oz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'CVmod-Ounce'!$J$24:$J$28</c:f>
              <c:numCache/>
            </c:numRef>
          </c:xVal>
          <c:yVal>
            <c:numRef>
              <c:f>'CVmod-Ounce'!$L$33:$L$37</c:f>
              <c:numCache/>
            </c:numRef>
          </c:yVal>
          <c:smooth val="1"/>
        </c:ser>
        <c:ser>
          <c:idx val="2"/>
          <c:order val="2"/>
          <c:tx>
            <c:strRef>
              <c:f>'CVmod-Ounce'!$M$32</c:f>
              <c:strCache>
                <c:ptCount val="1"/>
                <c:pt idx="0">
                  <c:v>2oz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'CVmod-Ounce'!$J$24:$J$28</c:f>
              <c:numCache/>
            </c:numRef>
          </c:xVal>
          <c:yVal>
            <c:numRef>
              <c:f>'CVmod-Ounce'!$M$33:$M$37</c:f>
              <c:numCache/>
            </c:numRef>
          </c:yVal>
          <c:smooth val="1"/>
        </c:ser>
        <c:axId val="1226772"/>
        <c:axId val="11040949"/>
      </c:scatterChart>
      <c:valAx>
        <c:axId val="1226772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3300"/>
                    </a:solidFill>
                  </a:rPr>
                  <a:t>current (amps)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11040949"/>
        <c:crosses val="autoZero"/>
        <c:crossBetween val="midCat"/>
        <c:dispUnits/>
        <c:majorUnit val="5"/>
      </c:valAx>
      <c:valAx>
        <c:axId val="11040949"/>
        <c:scaling>
          <c:orientation val="minMax"/>
          <c:max val="1"/>
          <c:min val="0.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3300"/>
                    </a:solidFill>
                  </a:rPr>
                  <a:t>percentage multiplier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1226772"/>
        <c:crosses val="autoZero"/>
        <c:crossBetween val="midCat"/>
        <c:dispUnits/>
      </c:valAx>
      <c:spPr>
        <a:noFill/>
        <a:ln w="25400">
          <a:solidFill>
            <a:srgbClr val="003300"/>
          </a:solidFill>
        </a:ln>
      </c:spPr>
    </c:plotArea>
    <c:legend>
      <c:legendPos val="r"/>
      <c:layout>
        <c:manualLayout>
          <c:xMode val="edge"/>
          <c:yMode val="edge"/>
          <c:x val="0.6925"/>
          <c:y val="0.41175"/>
          <c:w val="0.136"/>
          <c:h val="0.17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33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72</xdr:row>
      <xdr:rowOff>0</xdr:rowOff>
    </xdr:from>
    <xdr:to>
      <xdr:col>12</xdr:col>
      <xdr:colOff>200025</xdr:colOff>
      <xdr:row>117</xdr:row>
      <xdr:rowOff>161925</xdr:rowOff>
    </xdr:to>
    <xdr:graphicFrame>
      <xdr:nvGraphicFramePr>
        <xdr:cNvPr id="1" name="Chart 6"/>
        <xdr:cNvGraphicFramePr/>
      </xdr:nvGraphicFramePr>
      <xdr:xfrm>
        <a:off x="533400" y="13935075"/>
        <a:ext cx="9725025" cy="873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114300</xdr:colOff>
      <xdr:row>37</xdr:row>
      <xdr:rowOff>161925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687300" cy="731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10</xdr:col>
      <xdr:colOff>419100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2152650" y="161925"/>
        <a:ext cx="51435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10</xdr:col>
      <xdr:colOff>400050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1962150" y="161925"/>
        <a:ext cx="5133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10</xdr:col>
      <xdr:colOff>428625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2143125" y="161925"/>
        <a:ext cx="51625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266700</xdr:colOff>
      <xdr:row>21</xdr:row>
      <xdr:rowOff>142875</xdr:rowOff>
    </xdr:from>
    <xdr:to>
      <xdr:col>25</xdr:col>
      <xdr:colOff>295275</xdr:colOff>
      <xdr:row>37</xdr:row>
      <xdr:rowOff>190500</xdr:rowOff>
    </xdr:to>
    <xdr:graphicFrame>
      <xdr:nvGraphicFramePr>
        <xdr:cNvPr id="1" name="Chart 12"/>
        <xdr:cNvGraphicFramePr/>
      </xdr:nvGraphicFramePr>
      <xdr:xfrm>
        <a:off x="7315200" y="4276725"/>
        <a:ext cx="5172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85725</xdr:colOff>
      <xdr:row>28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542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rontdoor.biz/PCBportal/HowTo2152.pdf" TargetMode="External" /><Relationship Id="rId2" Type="http://schemas.openxmlformats.org/officeDocument/2006/relationships/hyperlink" Target="http://frontdoor.biz/PCBportal/HowTo2152.pd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3"/>
  <sheetViews>
    <sheetView showGridLines="0" tabSelected="1" workbookViewId="0" topLeftCell="A1">
      <selection activeCell="P6" sqref="P6"/>
    </sheetView>
  </sheetViews>
  <sheetFormatPr defaultColWidth="8.796875" defaultRowHeight="15"/>
  <cols>
    <col min="1" max="1" width="2.19921875" style="101" customWidth="1"/>
    <col min="2" max="2" width="3" style="101" customWidth="1"/>
    <col min="3" max="3" width="12.8984375" style="101" customWidth="1"/>
    <col min="4" max="4" width="6.796875" style="102" customWidth="1"/>
    <col min="5" max="5" width="1.390625" style="101" customWidth="1"/>
    <col min="6" max="6" width="14.19921875" style="101" customWidth="1"/>
    <col min="7" max="7" width="6.796875" style="102" customWidth="1"/>
    <col min="8" max="8" width="1.390625" style="101" customWidth="1"/>
    <col min="9" max="9" width="12.796875" style="101" customWidth="1"/>
    <col min="10" max="10" width="6.796875" style="102" customWidth="1"/>
    <col min="11" max="11" width="1.390625" style="101" customWidth="1"/>
    <col min="12" max="12" width="12.796875" style="101" customWidth="1"/>
    <col min="13" max="13" width="9.296875" style="102" customWidth="1"/>
    <col min="14" max="14" width="1.390625" style="101" customWidth="1"/>
    <col min="15" max="15" width="12.796875" style="101" customWidth="1"/>
    <col min="16" max="16" width="6.796875" style="102" customWidth="1"/>
    <col min="17" max="17" width="3" style="101" customWidth="1"/>
    <col min="18" max="18" width="12.796875" style="101" customWidth="1"/>
    <col min="19" max="19" width="6.796875" style="102" customWidth="1"/>
    <col min="20" max="20" width="2.796875" style="101" customWidth="1"/>
    <col min="21" max="16384" width="8.8984375" style="101" customWidth="1"/>
  </cols>
  <sheetData>
    <row r="1" ht="15.75" thickBot="1"/>
    <row r="2" spans="2:20" ht="25.5" customHeight="1" thickBot="1">
      <c r="B2" s="4"/>
      <c r="C2" s="5"/>
      <c r="D2" s="6"/>
      <c r="E2" s="5"/>
      <c r="F2" s="177" t="s">
        <v>104</v>
      </c>
      <c r="G2" s="177"/>
      <c r="H2" s="177"/>
      <c r="I2" s="177"/>
      <c r="J2" s="177"/>
      <c r="K2" s="177"/>
      <c r="L2" s="177"/>
      <c r="M2" s="177"/>
      <c r="N2" s="5"/>
      <c r="O2" s="5"/>
      <c r="P2" s="6"/>
      <c r="Q2" s="7"/>
      <c r="R2" s="103"/>
      <c r="S2" s="3"/>
      <c r="T2" s="103"/>
    </row>
    <row r="3" spans="2:20" s="104" customFormat="1" ht="19.5" customHeight="1" thickBot="1">
      <c r="B3" s="8"/>
      <c r="C3" s="175" t="s">
        <v>106</v>
      </c>
      <c r="D3" s="176"/>
      <c r="E3" s="44"/>
      <c r="F3" s="175" t="s">
        <v>107</v>
      </c>
      <c r="G3" s="176"/>
      <c r="H3" s="44"/>
      <c r="I3" s="175" t="s">
        <v>108</v>
      </c>
      <c r="J3" s="176"/>
      <c r="K3" s="44"/>
      <c r="L3" s="175" t="s">
        <v>109</v>
      </c>
      <c r="M3" s="176"/>
      <c r="N3" s="44"/>
      <c r="O3" s="175" t="s">
        <v>110</v>
      </c>
      <c r="P3" s="176"/>
      <c r="Q3" s="70"/>
      <c r="R3" s="105"/>
      <c r="S3" s="105"/>
      <c r="T3" s="105"/>
    </row>
    <row r="4" spans="2:20" ht="19.5" customHeight="1" thickBot="1">
      <c r="B4" s="9"/>
      <c r="C4" s="85" t="s">
        <v>115</v>
      </c>
      <c r="D4" s="86">
        <v>1</v>
      </c>
      <c r="E4" s="44"/>
      <c r="F4" s="87" t="s">
        <v>113</v>
      </c>
      <c r="G4" s="86">
        <v>35</v>
      </c>
      <c r="H4" s="44"/>
      <c r="I4" s="87" t="s">
        <v>112</v>
      </c>
      <c r="J4" s="86">
        <v>0</v>
      </c>
      <c r="K4" s="44"/>
      <c r="L4" s="87" t="s">
        <v>111</v>
      </c>
      <c r="M4" s="86">
        <v>1600</v>
      </c>
      <c r="N4" s="44"/>
      <c r="O4" s="87" t="s">
        <v>119</v>
      </c>
      <c r="P4" s="86">
        <v>20</v>
      </c>
      <c r="Q4" s="70"/>
      <c r="R4" s="178"/>
      <c r="S4" s="178"/>
      <c r="T4" s="103"/>
    </row>
    <row r="5" spans="2:20" ht="19.5" customHeight="1" hidden="1" thickBot="1" thickTop="1">
      <c r="B5" s="9"/>
      <c r="C5" s="65"/>
      <c r="D5" s="81"/>
      <c r="E5" s="44"/>
      <c r="F5" s="76" t="s">
        <v>36</v>
      </c>
      <c r="G5" s="77">
        <f>IF(G4=70,-0.0185*LN(D4)+0.9861,IF(G4=105,1,-0.0318*LN(D4)+0.9128))</f>
        <v>0.9128</v>
      </c>
      <c r="H5" s="44"/>
      <c r="I5" s="76" t="s">
        <v>41</v>
      </c>
      <c r="J5" s="77">
        <f>IF(J4=0,1,IF(J4&gt;3175,1,0.0031*0.039*J4+0.4054))</f>
        <v>1</v>
      </c>
      <c r="K5" s="44"/>
      <c r="L5" s="76" t="s">
        <v>76</v>
      </c>
      <c r="M5" s="77">
        <f>25.959*(M4/25.4)^(-0.7666)</f>
        <v>1.0838148740676188</v>
      </c>
      <c r="N5" s="44"/>
      <c r="O5" s="45" t="s">
        <v>85</v>
      </c>
      <c r="P5" s="48">
        <f>(P4+100)/100</f>
        <v>1.2</v>
      </c>
      <c r="Q5" s="70"/>
      <c r="R5" s="106"/>
      <c r="S5" s="106"/>
      <c r="T5" s="103"/>
    </row>
    <row r="6" spans="2:20" ht="19.5" customHeight="1" thickBot="1" thickTop="1">
      <c r="B6" s="9"/>
      <c r="C6" s="78" t="s">
        <v>116</v>
      </c>
      <c r="D6" s="75">
        <v>10</v>
      </c>
      <c r="E6" s="44"/>
      <c r="F6" s="74" t="s">
        <v>114</v>
      </c>
      <c r="G6" s="75">
        <v>35</v>
      </c>
      <c r="H6" s="44"/>
      <c r="I6" s="74" t="s">
        <v>117</v>
      </c>
      <c r="J6" s="75" t="s">
        <v>39</v>
      </c>
      <c r="K6" s="44"/>
      <c r="L6" s="74" t="s">
        <v>27</v>
      </c>
      <c r="M6" s="75" t="s">
        <v>38</v>
      </c>
      <c r="N6" s="44"/>
      <c r="O6" s="74" t="s">
        <v>120</v>
      </c>
      <c r="P6" s="169">
        <f>IF(G4=105,P5*P9*O21*25.4,IF(G4=70,P5*P9*O20*25.4,IF(G4=35,P5*P9*O19*25.4,P5*P9*O18*25.4)))</f>
        <v>0.37523756584022</v>
      </c>
      <c r="Q6" s="70"/>
      <c r="R6" s="107"/>
      <c r="S6" s="107"/>
      <c r="T6" s="103"/>
    </row>
    <row r="7" spans="2:20" ht="19.5" customHeight="1" hidden="1">
      <c r="B7" s="9"/>
      <c r="C7" s="94" t="s">
        <v>86</v>
      </c>
      <c r="D7" s="95">
        <f>IF(G4=105,D9*O21*1000,IF(G4=70,D9*O20*1000,IF(G4=35,D9*O19*1000,D9*O18*1000)))</f>
        <v>12.138824999999999</v>
      </c>
      <c r="E7" s="90"/>
      <c r="F7" s="96" t="s">
        <v>37</v>
      </c>
      <c r="G7" s="97">
        <f>IF(J4=0,1,IF(G6&gt;35,0.96,1))</f>
        <v>1</v>
      </c>
      <c r="H7" s="90"/>
      <c r="I7" s="96" t="s">
        <v>40</v>
      </c>
      <c r="J7" s="98">
        <f>IF(J6="&gt;25800",0.94,IF(J6="&gt;12900",0.96,1))</f>
        <v>1</v>
      </c>
      <c r="K7" s="90"/>
      <c r="L7" s="96" t="s">
        <v>77</v>
      </c>
      <c r="M7" s="98">
        <f>IF(M6="FR4",1.02,IF(M6="Poly",1,1))</f>
        <v>1.02</v>
      </c>
      <c r="N7" s="44"/>
      <c r="O7" s="84"/>
      <c r="P7" s="83"/>
      <c r="Q7" s="70"/>
      <c r="R7" s="103"/>
      <c r="S7" s="3"/>
      <c r="T7" s="103"/>
    </row>
    <row r="8" spans="2:20" ht="19.5" customHeight="1" hidden="1" thickBot="1">
      <c r="B8" s="9"/>
      <c r="C8" s="79" t="s">
        <v>87</v>
      </c>
      <c r="D8" s="80">
        <v>1</v>
      </c>
      <c r="E8" s="44"/>
      <c r="F8" s="96" t="s">
        <v>80</v>
      </c>
      <c r="G8" s="99">
        <f>G5*G7</f>
        <v>0.9128</v>
      </c>
      <c r="H8" s="90"/>
      <c r="I8" s="96" t="s">
        <v>80</v>
      </c>
      <c r="J8" s="99">
        <f>G8*J7*J5</f>
        <v>0.9128</v>
      </c>
      <c r="K8" s="90"/>
      <c r="L8" s="96" t="s">
        <v>80</v>
      </c>
      <c r="M8" s="99">
        <f>J8*M5*M7</f>
        <v>1.009092341389901</v>
      </c>
      <c r="N8" s="44"/>
      <c r="O8" s="45"/>
      <c r="P8" s="82"/>
      <c r="Q8" s="70"/>
      <c r="R8" s="103"/>
      <c r="S8" s="3"/>
      <c r="T8" s="103"/>
    </row>
    <row r="9" spans="2:20" ht="19.5" customHeight="1" thickBot="1">
      <c r="B9" s="9"/>
      <c r="C9" s="88" t="s">
        <v>32</v>
      </c>
      <c r="D9" s="89">
        <f>IF(D6=2,63.637*D4^(1.9386),IF(D6=5,27.987*D4^(1.8658),IF(D6=10,15.663*D4^(1.8121),IF(D6=20,8.868*D4^(1.7655),IF(D6=30,6.5379*D4^(1.7433),IF(D6=45,4.8512*D4^(1.7175),IF(D6=60,3.9366*D4^(1.6997),IF(D6=75,3.3749*D4^(1.686)))))))))</f>
        <v>15.663</v>
      </c>
      <c r="E9" s="90"/>
      <c r="F9" s="91" t="s">
        <v>84</v>
      </c>
      <c r="G9" s="93">
        <f>D6*(1+(1-G8))</f>
        <v>10.872000000000002</v>
      </c>
      <c r="H9" s="90"/>
      <c r="I9" s="91" t="s">
        <v>84</v>
      </c>
      <c r="J9" s="93">
        <f>D6/J8</f>
        <v>10.955302366345311</v>
      </c>
      <c r="K9" s="90"/>
      <c r="L9" s="91" t="s">
        <v>84</v>
      </c>
      <c r="M9" s="93">
        <f>D6/M8</f>
        <v>9.90989584384936</v>
      </c>
      <c r="N9" s="90"/>
      <c r="O9" s="92" t="s">
        <v>88</v>
      </c>
      <c r="P9" s="89">
        <f>J27-(J27-J26)*(J24-M9)/(J24-J23)</f>
        <v>15.885088724080095</v>
      </c>
      <c r="Q9" s="70"/>
      <c r="R9" s="103"/>
      <c r="S9" s="3"/>
      <c r="T9" s="103"/>
    </row>
    <row r="10" spans="2:20" ht="24" customHeight="1" thickBot="1">
      <c r="B10" s="71"/>
      <c r="C10" s="100" t="s">
        <v>121</v>
      </c>
      <c r="D10" s="73"/>
      <c r="E10" s="180" t="s">
        <v>105</v>
      </c>
      <c r="F10" s="180"/>
      <c r="G10" s="180"/>
      <c r="H10" s="180"/>
      <c r="I10" s="180"/>
      <c r="J10" s="180"/>
      <c r="K10" s="180"/>
      <c r="L10" s="180"/>
      <c r="M10" s="180"/>
      <c r="N10" s="180"/>
      <c r="O10" s="172" t="s">
        <v>100</v>
      </c>
      <c r="P10" s="172"/>
      <c r="Q10" s="72"/>
      <c r="R10" s="103"/>
      <c r="S10" s="3"/>
      <c r="T10" s="103"/>
    </row>
    <row r="11" spans="7:13" ht="15">
      <c r="G11" s="101"/>
      <c r="J11" s="101"/>
      <c r="M11" s="101"/>
    </row>
    <row r="12" spans="1:19" s="113" customFormat="1" ht="18" customHeight="1">
      <c r="A12" s="108"/>
      <c r="B12" s="109"/>
      <c r="C12" s="110"/>
      <c r="D12" s="111"/>
      <c r="E12" s="110"/>
      <c r="F12" s="179" t="s">
        <v>97</v>
      </c>
      <c r="G12" s="179"/>
      <c r="H12" s="179"/>
      <c r="I12" s="179"/>
      <c r="J12" s="179"/>
      <c r="K12" s="179"/>
      <c r="L12" s="179"/>
      <c r="M12" s="179"/>
      <c r="N12" s="110"/>
      <c r="O12" s="110"/>
      <c r="P12" s="111"/>
      <c r="Q12" s="112"/>
      <c r="S12" s="102"/>
    </row>
    <row r="13" spans="1:17" ht="18" customHeight="1">
      <c r="A13" s="114"/>
      <c r="B13" s="115"/>
      <c r="C13" s="171" t="s">
        <v>118</v>
      </c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16"/>
    </row>
    <row r="14" spans="1:17" ht="18" customHeight="1">
      <c r="A14" s="114"/>
      <c r="B14" s="115"/>
      <c r="C14" s="173" t="s">
        <v>99</v>
      </c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16"/>
    </row>
    <row r="15" spans="1:19" s="120" customFormat="1" ht="42" customHeight="1">
      <c r="A15" s="117"/>
      <c r="B15" s="118"/>
      <c r="C15" s="196" t="s">
        <v>123</v>
      </c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19"/>
      <c r="S15" s="121"/>
    </row>
    <row r="16" spans="2:17" ht="24" customHeight="1">
      <c r="B16" s="122"/>
      <c r="C16" s="123"/>
      <c r="D16" s="123"/>
      <c r="E16" s="123"/>
      <c r="F16" s="170" t="s">
        <v>98</v>
      </c>
      <c r="G16" s="170"/>
      <c r="H16" s="170"/>
      <c r="I16" s="170"/>
      <c r="J16" s="170"/>
      <c r="K16" s="170"/>
      <c r="L16" s="170"/>
      <c r="M16" s="170"/>
      <c r="N16" s="123"/>
      <c r="O16" s="123"/>
      <c r="P16" s="123"/>
      <c r="Q16" s="124"/>
    </row>
    <row r="17" spans="2:17" ht="15.75" hidden="1">
      <c r="B17" s="125"/>
      <c r="C17" s="126" t="s">
        <v>94</v>
      </c>
      <c r="D17" s="127" t="s">
        <v>67</v>
      </c>
      <c r="E17" s="128"/>
      <c r="F17" s="129" t="s">
        <v>70</v>
      </c>
      <c r="G17" s="127" t="s">
        <v>69</v>
      </c>
      <c r="H17" s="128"/>
      <c r="I17" s="126" t="s">
        <v>93</v>
      </c>
      <c r="J17" s="127" t="s">
        <v>68</v>
      </c>
      <c r="K17" s="128"/>
      <c r="L17" s="126" t="s">
        <v>30</v>
      </c>
      <c r="M17" s="130"/>
      <c r="N17" s="128"/>
      <c r="O17" s="129" t="s">
        <v>92</v>
      </c>
      <c r="P17" s="127" t="s">
        <v>69</v>
      </c>
      <c r="Q17" s="125"/>
    </row>
    <row r="18" spans="2:17" ht="15.75" hidden="1">
      <c r="B18" s="125"/>
      <c r="C18" s="131" t="s">
        <v>42</v>
      </c>
      <c r="D18" s="132">
        <v>2</v>
      </c>
      <c r="E18" s="125"/>
      <c r="F18" s="133" t="s">
        <v>65</v>
      </c>
      <c r="G18" s="134">
        <v>17</v>
      </c>
      <c r="H18" s="135"/>
      <c r="I18" s="136" t="s">
        <v>75</v>
      </c>
      <c r="J18" s="132" t="s">
        <v>101</v>
      </c>
      <c r="K18" s="135"/>
      <c r="L18" s="137" t="s">
        <v>73</v>
      </c>
      <c r="M18" s="138"/>
      <c r="N18" s="135"/>
      <c r="O18" s="136">
        <v>0.00155</v>
      </c>
      <c r="P18" s="134">
        <v>17</v>
      </c>
      <c r="Q18" s="135"/>
    </row>
    <row r="19" spans="2:17" ht="15.75" hidden="1">
      <c r="B19" s="125"/>
      <c r="C19" s="139" t="s">
        <v>52</v>
      </c>
      <c r="D19" s="134">
        <v>5</v>
      </c>
      <c r="E19" s="125"/>
      <c r="F19" s="133" t="s">
        <v>65</v>
      </c>
      <c r="G19" s="134">
        <v>35</v>
      </c>
      <c r="H19" s="135"/>
      <c r="I19" s="136"/>
      <c r="J19" s="134" t="s">
        <v>102</v>
      </c>
      <c r="K19" s="135"/>
      <c r="L19" s="136"/>
      <c r="M19" s="138"/>
      <c r="N19" s="135"/>
      <c r="O19" s="136">
        <v>0.000775</v>
      </c>
      <c r="P19" s="134">
        <v>35</v>
      </c>
      <c r="Q19" s="135"/>
    </row>
    <row r="20" spans="2:17" ht="15.75" hidden="1">
      <c r="B20" s="125"/>
      <c r="C20" s="139" t="s">
        <v>53</v>
      </c>
      <c r="D20" s="134">
        <v>10</v>
      </c>
      <c r="E20" s="125"/>
      <c r="F20" s="133" t="s">
        <v>66</v>
      </c>
      <c r="G20" s="134">
        <v>70</v>
      </c>
      <c r="H20" s="135"/>
      <c r="I20" s="136"/>
      <c r="J20" s="134" t="s">
        <v>103</v>
      </c>
      <c r="K20" s="135"/>
      <c r="L20" s="136" t="s">
        <v>122</v>
      </c>
      <c r="M20" s="138"/>
      <c r="N20" s="135"/>
      <c r="O20" s="136">
        <v>0.000388</v>
      </c>
      <c r="P20" s="134">
        <v>70</v>
      </c>
      <c r="Q20" s="135"/>
    </row>
    <row r="21" spans="2:17" ht="15.75" hidden="1">
      <c r="B21" s="125"/>
      <c r="C21" s="139" t="s">
        <v>54</v>
      </c>
      <c r="D21" s="134">
        <v>20</v>
      </c>
      <c r="E21" s="125"/>
      <c r="F21" s="140">
        <v>0</v>
      </c>
      <c r="G21" s="141">
        <v>105</v>
      </c>
      <c r="H21" s="135"/>
      <c r="I21" s="142"/>
      <c r="J21" s="141" t="s">
        <v>39</v>
      </c>
      <c r="K21" s="135"/>
      <c r="L21" s="142"/>
      <c r="M21" s="143"/>
      <c r="N21" s="135"/>
      <c r="O21" s="142">
        <v>0.000258</v>
      </c>
      <c r="P21" s="141">
        <v>105</v>
      </c>
      <c r="Q21" s="135"/>
    </row>
    <row r="22" spans="2:19" ht="15.75" hidden="1">
      <c r="B22" s="125"/>
      <c r="C22" s="139" t="s">
        <v>55</v>
      </c>
      <c r="D22" s="134">
        <v>30</v>
      </c>
      <c r="E22" s="125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25"/>
      <c r="S22" s="144"/>
    </row>
    <row r="23" spans="2:19" ht="15.75" customHeight="1" hidden="1">
      <c r="B23" s="125"/>
      <c r="C23" s="139" t="s">
        <v>56</v>
      </c>
      <c r="D23" s="134">
        <v>45</v>
      </c>
      <c r="E23" s="125"/>
      <c r="F23" s="145"/>
      <c r="G23" s="146">
        <v>2</v>
      </c>
      <c r="H23" s="146"/>
      <c r="I23" s="146" t="s">
        <v>89</v>
      </c>
      <c r="J23" s="147">
        <f>LOOKUP(M9,G23:G30)</f>
        <v>5</v>
      </c>
      <c r="K23" s="148"/>
      <c r="L23" s="149" t="s">
        <v>27</v>
      </c>
      <c r="M23" s="150" t="s">
        <v>74</v>
      </c>
      <c r="N23" s="148"/>
      <c r="O23" s="148"/>
      <c r="P23" s="148"/>
      <c r="Q23" s="144"/>
      <c r="R23" s="125"/>
      <c r="S23" s="144"/>
    </row>
    <row r="24" spans="2:19" ht="15.75" customHeight="1" hidden="1">
      <c r="B24" s="125"/>
      <c r="C24" s="139" t="s">
        <v>57</v>
      </c>
      <c r="D24" s="134">
        <v>60</v>
      </c>
      <c r="E24" s="125"/>
      <c r="F24" s="151"/>
      <c r="G24" s="152">
        <v>5</v>
      </c>
      <c r="H24" s="152"/>
      <c r="I24" s="152" t="s">
        <v>90</v>
      </c>
      <c r="J24" s="153">
        <f>IF(J23=2,G24,IF(J23=5,G25,IF(J23=10,G26,IF(J23=20,G27,IF(J23=30,G28,IF(J23=45,G29,IF(J23=60,G30,100)))))))</f>
        <v>10</v>
      </c>
      <c r="K24" s="148"/>
      <c r="L24" s="154">
        <v>1.02</v>
      </c>
      <c r="M24" s="155" t="s">
        <v>38</v>
      </c>
      <c r="N24" s="148"/>
      <c r="O24" s="148"/>
      <c r="P24" s="148"/>
      <c r="Q24" s="144"/>
      <c r="R24" s="125"/>
      <c r="S24" s="144"/>
    </row>
    <row r="25" spans="2:19" ht="15.75" hidden="1">
      <c r="B25" s="125"/>
      <c r="C25" s="156" t="s">
        <v>58</v>
      </c>
      <c r="D25" s="141">
        <v>75</v>
      </c>
      <c r="E25" s="125"/>
      <c r="F25" s="151"/>
      <c r="G25" s="152">
        <v>10</v>
      </c>
      <c r="H25" s="152"/>
      <c r="I25" s="152"/>
      <c r="J25" s="153"/>
      <c r="K25" s="148"/>
      <c r="L25" s="157">
        <v>1</v>
      </c>
      <c r="M25" s="138" t="s">
        <v>28</v>
      </c>
      <c r="N25" s="148"/>
      <c r="O25" s="148"/>
      <c r="P25" s="148"/>
      <c r="Q25" s="144"/>
      <c r="R25" s="125"/>
      <c r="S25" s="144"/>
    </row>
    <row r="26" spans="3:17" ht="15.75" hidden="1">
      <c r="C26" s="158" t="s">
        <v>59</v>
      </c>
      <c r="D26" s="159">
        <v>100</v>
      </c>
      <c r="F26" s="151"/>
      <c r="G26" s="152">
        <v>20</v>
      </c>
      <c r="H26" s="152"/>
      <c r="I26" s="152" t="s">
        <v>95</v>
      </c>
      <c r="J26" s="160">
        <f>IF(J23=2,63.637*D4^(1.9386),IF(J23=5,27.987*D4^(1.8658),IF(J23=10,15.663*D4^(1.8121),IF(J23=20,8.868*D4^(1.7655),IF(J23=30,6.5379*D4^(1.7433),IF(J23=45,4.8512*D4^(1.7175),IF(J23=60,3.9366*D4^(1.6997),IF(J23=75,3.3749*D4^(1.686)))))))))</f>
        <v>27.987</v>
      </c>
      <c r="K26" s="161"/>
      <c r="L26" s="157"/>
      <c r="M26" s="138" t="s">
        <v>91</v>
      </c>
      <c r="N26" s="161"/>
      <c r="O26" s="161"/>
      <c r="P26" s="161"/>
      <c r="Q26" s="102"/>
    </row>
    <row r="27" spans="6:17" ht="15.75" hidden="1">
      <c r="F27" s="151"/>
      <c r="G27" s="152">
        <v>30</v>
      </c>
      <c r="H27" s="152"/>
      <c r="I27" s="152" t="s">
        <v>96</v>
      </c>
      <c r="J27" s="160">
        <f>IF(J24=100,2.7506*D4^(1.6686),IF(J24=5,27.987*D4^(1.8658),IF(J24=10,15.663*D4^(1.8121),IF(J24=20,8.868*D4^(1.7655),IF(J24=30,6.5379*D4^(1.7433),IF(J24=45,4.8512*D4^(1.7175),IF(J24=60,3.9366*D4^(1.6997),IF(J24=75,3.3749*D4^(1.686)))))))))</f>
        <v>15.663</v>
      </c>
      <c r="K27" s="161"/>
      <c r="L27" s="162"/>
      <c r="M27" s="143"/>
      <c r="N27" s="161"/>
      <c r="O27" s="161"/>
      <c r="P27" s="161"/>
      <c r="Q27" s="102"/>
    </row>
    <row r="28" spans="3:17" ht="15.75" hidden="1">
      <c r="C28" s="163"/>
      <c r="D28" s="164"/>
      <c r="F28" s="151"/>
      <c r="G28" s="152">
        <v>45</v>
      </c>
      <c r="H28" s="152"/>
      <c r="I28" s="152"/>
      <c r="J28" s="153"/>
      <c r="K28" s="161"/>
      <c r="L28" s="161"/>
      <c r="M28" s="161"/>
      <c r="N28" s="161"/>
      <c r="O28" s="161"/>
      <c r="P28" s="161"/>
      <c r="Q28" s="102"/>
    </row>
    <row r="29" spans="3:17" ht="15.75" hidden="1">
      <c r="C29" s="163"/>
      <c r="D29" s="164"/>
      <c r="F29" s="151"/>
      <c r="G29" s="152">
        <v>60</v>
      </c>
      <c r="H29" s="152"/>
      <c r="I29" s="152"/>
      <c r="J29" s="153"/>
      <c r="K29" s="161"/>
      <c r="L29" s="161"/>
      <c r="M29" s="161"/>
      <c r="N29" s="161"/>
      <c r="O29" s="161"/>
      <c r="P29" s="161"/>
      <c r="Q29" s="102"/>
    </row>
    <row r="30" spans="3:17" ht="15.75" hidden="1">
      <c r="C30" s="163"/>
      <c r="D30" s="164"/>
      <c r="F30" s="165"/>
      <c r="G30" s="166">
        <v>75</v>
      </c>
      <c r="H30" s="166"/>
      <c r="I30" s="166"/>
      <c r="J30" s="167"/>
      <c r="K30" s="161"/>
      <c r="L30" s="161"/>
      <c r="M30" s="161"/>
      <c r="N30" s="161"/>
      <c r="O30" s="161"/>
      <c r="P30" s="161"/>
      <c r="Q30" s="102"/>
    </row>
    <row r="31" spans="3:17" ht="15.75" hidden="1">
      <c r="C31" s="163"/>
      <c r="D31" s="164"/>
      <c r="F31" s="152"/>
      <c r="G31" s="152"/>
      <c r="H31" s="152"/>
      <c r="I31" s="152"/>
      <c r="J31" s="152"/>
      <c r="K31" s="161"/>
      <c r="L31" s="161"/>
      <c r="M31" s="161"/>
      <c r="N31" s="161"/>
      <c r="O31" s="161"/>
      <c r="P31" s="161"/>
      <c r="Q31" s="102"/>
    </row>
    <row r="32" ht="15.75" hidden="1">
      <c r="C32" s="168" t="s">
        <v>71</v>
      </c>
    </row>
    <row r="33" ht="15.75">
      <c r="B33" s="135"/>
    </row>
  </sheetData>
  <mergeCells count="14">
    <mergeCell ref="C3:D3"/>
    <mergeCell ref="F3:G3"/>
    <mergeCell ref="I3:J3"/>
    <mergeCell ref="L3:M3"/>
    <mergeCell ref="O3:P3"/>
    <mergeCell ref="F2:M2"/>
    <mergeCell ref="R4:S4"/>
    <mergeCell ref="F12:M12"/>
    <mergeCell ref="E10:N10"/>
    <mergeCell ref="F16:M16"/>
    <mergeCell ref="C13:P13"/>
    <mergeCell ref="O10:P10"/>
    <mergeCell ref="C14:P14"/>
    <mergeCell ref="C15:P15"/>
  </mergeCells>
  <conditionalFormatting sqref="J4">
    <cfRule type="cellIs" priority="1" dxfId="0" operator="greaterThan" stopIfTrue="1">
      <formula>$M$4</formula>
    </cfRule>
  </conditionalFormatting>
  <conditionalFormatting sqref="D9">
    <cfRule type="cellIs" priority="2" dxfId="0" operator="greaterThan" stopIfTrue="1">
      <formula>17.78</formula>
    </cfRule>
    <cfRule type="cellIs" priority="3" dxfId="0" operator="lessThan" stopIfTrue="1">
      <formula>0.127</formula>
    </cfRule>
  </conditionalFormatting>
  <conditionalFormatting sqref="M4">
    <cfRule type="cellIs" priority="4" dxfId="0" operator="lessThan" stopIfTrue="1">
      <formula>710</formula>
    </cfRule>
    <cfRule type="cellIs" priority="5" dxfId="0" operator="greaterThan" stopIfTrue="1">
      <formula>2390</formula>
    </cfRule>
  </conditionalFormatting>
  <dataValidations count="4">
    <dataValidation type="list" allowBlank="1" showInputMessage="1" showErrorMessage="1" sqref="J6">
      <formula1>$J$18:$J$21</formula1>
    </dataValidation>
    <dataValidation type="list" allowBlank="1" showInputMessage="1" showErrorMessage="1" sqref="D6">
      <formula1>$D$18:$D$25</formula1>
    </dataValidation>
    <dataValidation type="list" allowBlank="1" showInputMessage="1" showErrorMessage="1" sqref="M6">
      <formula1>$M$24:$M$25</formula1>
    </dataValidation>
    <dataValidation type="list" allowBlank="1" showInputMessage="1" showErrorMessage="1" sqref="G4 G6">
      <formula1>$P$18:$P$21</formula1>
    </dataValidation>
  </dataValidations>
  <hyperlinks>
    <hyperlink ref="F12" r:id="rId1" display="http://frontdoor.biz/PCBportal/HowTo2152.pdf"/>
    <hyperlink ref="F12:M12" r:id="rId2" display="http://FrontDoor.biz/PCBportal/HowTo2152.pdf"/>
  </hyperlinks>
  <printOptions/>
  <pageMargins left="0.75" right="0.75" top="1" bottom="1" header="0.5" footer="0.5"/>
  <pageSetup horizontalDpi="600" verticalDpi="600" orientation="portrait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2:K70"/>
  <sheetViews>
    <sheetView showGridLines="0" zoomScale="75" zoomScaleNormal="75" workbookViewId="0" topLeftCell="A1">
      <selection activeCell="B42" sqref="B42:C42"/>
    </sheetView>
  </sheetViews>
  <sheetFormatPr defaultColWidth="8.796875" defaultRowHeight="15"/>
  <sheetData>
    <row r="2" ht="23.25">
      <c r="C2" s="46"/>
    </row>
    <row r="41" ht="15.75" thickBot="1"/>
    <row r="42" spans="2:11" ht="16.5" thickBot="1">
      <c r="B42" s="181">
        <v>1</v>
      </c>
      <c r="C42" s="182"/>
      <c r="D42" s="181">
        <v>2</v>
      </c>
      <c r="E42" s="182"/>
      <c r="F42" s="181">
        <v>5</v>
      </c>
      <c r="G42" s="182"/>
      <c r="H42" s="181">
        <v>10</v>
      </c>
      <c r="I42" s="182"/>
      <c r="J42" s="181">
        <v>20</v>
      </c>
      <c r="K42" s="182"/>
    </row>
    <row r="43" spans="2:11" ht="15">
      <c r="B43" s="50">
        <v>5</v>
      </c>
      <c r="C43" s="51">
        <v>0.2</v>
      </c>
      <c r="D43" s="50">
        <v>5</v>
      </c>
      <c r="E43" s="51">
        <v>0.27</v>
      </c>
      <c r="F43" s="50">
        <v>5</v>
      </c>
      <c r="G43" s="51">
        <v>0.4</v>
      </c>
      <c r="H43" s="50">
        <v>5</v>
      </c>
      <c r="I43" s="51">
        <v>0.53</v>
      </c>
      <c r="J43" s="50">
        <v>5</v>
      </c>
      <c r="K43" s="51">
        <v>0.72</v>
      </c>
    </row>
    <row r="44" spans="2:11" ht="15">
      <c r="B44" s="52">
        <v>8.4</v>
      </c>
      <c r="C44" s="53">
        <v>0.25</v>
      </c>
      <c r="D44" s="52">
        <v>10</v>
      </c>
      <c r="E44" s="53">
        <v>0.385</v>
      </c>
      <c r="F44" s="52">
        <v>10</v>
      </c>
      <c r="G44" s="53">
        <v>0.58</v>
      </c>
      <c r="H44" s="52">
        <v>10</v>
      </c>
      <c r="I44" s="53">
        <v>0.78</v>
      </c>
      <c r="J44" s="52">
        <v>10</v>
      </c>
      <c r="K44" s="53">
        <v>1.08</v>
      </c>
    </row>
    <row r="45" spans="2:11" ht="15">
      <c r="B45" s="52">
        <v>20</v>
      </c>
      <c r="C45" s="53">
        <v>0.4</v>
      </c>
      <c r="D45" s="52">
        <v>15</v>
      </c>
      <c r="E45" s="53">
        <v>0.47</v>
      </c>
      <c r="F45" s="52">
        <v>15</v>
      </c>
      <c r="G45" s="53">
        <v>0.72</v>
      </c>
      <c r="H45" s="52">
        <v>15</v>
      </c>
      <c r="I45" s="53">
        <v>0.99</v>
      </c>
      <c r="J45" s="52">
        <v>15</v>
      </c>
      <c r="K45" s="53">
        <v>1.35</v>
      </c>
    </row>
    <row r="46" spans="2:11" ht="15">
      <c r="B46" s="52">
        <v>32.4</v>
      </c>
      <c r="C46" s="53">
        <v>0.5</v>
      </c>
      <c r="D46" s="52">
        <v>20</v>
      </c>
      <c r="E46" s="53">
        <v>0.55</v>
      </c>
      <c r="F46" s="52">
        <v>20</v>
      </c>
      <c r="G46" s="53">
        <v>0.835</v>
      </c>
      <c r="H46" s="52">
        <v>20</v>
      </c>
      <c r="I46" s="53">
        <v>1.145</v>
      </c>
      <c r="J46" s="52">
        <v>20</v>
      </c>
      <c r="K46" s="53">
        <v>1.58</v>
      </c>
    </row>
    <row r="47" spans="2:11" ht="15">
      <c r="B47" s="52">
        <v>70</v>
      </c>
      <c r="C47" s="53">
        <v>0.75</v>
      </c>
      <c r="D47" s="52">
        <v>30</v>
      </c>
      <c r="E47" s="53">
        <v>0.68</v>
      </c>
      <c r="F47" s="52">
        <v>30</v>
      </c>
      <c r="G47" s="53">
        <v>1.03</v>
      </c>
      <c r="H47" s="52">
        <v>30</v>
      </c>
      <c r="I47" s="53">
        <v>1.42</v>
      </c>
      <c r="J47" s="52">
        <v>31</v>
      </c>
      <c r="K47" s="53">
        <v>2</v>
      </c>
    </row>
    <row r="48" spans="2:11" ht="15">
      <c r="B48" s="52">
        <v>102</v>
      </c>
      <c r="C48" s="53">
        <v>0.9</v>
      </c>
      <c r="D48" s="52">
        <v>45</v>
      </c>
      <c r="E48" s="53">
        <v>0.84</v>
      </c>
      <c r="F48" s="52">
        <v>45</v>
      </c>
      <c r="G48" s="53">
        <v>1.27</v>
      </c>
      <c r="H48" s="52">
        <v>45</v>
      </c>
      <c r="I48" s="53">
        <v>1.79</v>
      </c>
      <c r="J48" s="52">
        <v>45</v>
      </c>
      <c r="K48" s="53">
        <v>2.5</v>
      </c>
    </row>
    <row r="49" spans="2:11" ht="15">
      <c r="B49" s="52">
        <v>125</v>
      </c>
      <c r="C49" s="53">
        <v>1</v>
      </c>
      <c r="D49" s="52">
        <v>100</v>
      </c>
      <c r="E49" s="53">
        <v>1.27</v>
      </c>
      <c r="F49" s="52">
        <v>100</v>
      </c>
      <c r="G49" s="53">
        <v>1.98</v>
      </c>
      <c r="H49" s="52">
        <v>100</v>
      </c>
      <c r="I49" s="53">
        <v>2.8</v>
      </c>
      <c r="J49" s="52">
        <v>100</v>
      </c>
      <c r="K49" s="53">
        <v>4</v>
      </c>
    </row>
    <row r="50" spans="2:11" ht="15">
      <c r="B50" s="52">
        <v>285</v>
      </c>
      <c r="C50" s="53">
        <v>1.5</v>
      </c>
      <c r="D50" s="52">
        <v>200</v>
      </c>
      <c r="E50" s="53">
        <v>1.8</v>
      </c>
      <c r="F50" s="52">
        <v>200</v>
      </c>
      <c r="G50" s="53">
        <v>2.8</v>
      </c>
      <c r="H50" s="52">
        <v>200</v>
      </c>
      <c r="I50" s="53">
        <v>4.05</v>
      </c>
      <c r="J50" s="52">
        <v>200</v>
      </c>
      <c r="K50" s="53">
        <v>5.8</v>
      </c>
    </row>
    <row r="51" spans="2:11" ht="15">
      <c r="B51" s="54">
        <v>300</v>
      </c>
      <c r="C51" s="55">
        <v>1.55</v>
      </c>
      <c r="D51" s="54">
        <v>300</v>
      </c>
      <c r="E51" s="55">
        <v>2.2</v>
      </c>
      <c r="F51" s="54">
        <v>300</v>
      </c>
      <c r="G51" s="55">
        <v>3.6</v>
      </c>
      <c r="H51" s="54">
        <v>300</v>
      </c>
      <c r="I51" s="55">
        <v>5.1</v>
      </c>
      <c r="J51" s="54">
        <v>300</v>
      </c>
      <c r="K51" s="55">
        <v>7.4</v>
      </c>
    </row>
    <row r="52" spans="2:11" ht="15">
      <c r="B52" s="54">
        <v>400</v>
      </c>
      <c r="C52" s="55">
        <v>1.8</v>
      </c>
      <c r="D52" s="54">
        <v>400</v>
      </c>
      <c r="E52" s="55">
        <v>2.6</v>
      </c>
      <c r="F52" s="54">
        <v>400</v>
      </c>
      <c r="G52" s="55">
        <v>4.2</v>
      </c>
      <c r="H52" s="54">
        <v>400</v>
      </c>
      <c r="I52" s="55">
        <v>5.9</v>
      </c>
      <c r="J52" s="54">
        <v>400</v>
      </c>
      <c r="K52" s="55">
        <v>8.6</v>
      </c>
    </row>
    <row r="53" spans="2:11" ht="15">
      <c r="B53" s="54">
        <v>500</v>
      </c>
      <c r="C53" s="55">
        <v>2</v>
      </c>
      <c r="D53" s="54">
        <v>500</v>
      </c>
      <c r="E53" s="55">
        <v>2.94</v>
      </c>
      <c r="F53" s="54">
        <v>500</v>
      </c>
      <c r="G53" s="55">
        <v>4.7</v>
      </c>
      <c r="H53" s="54">
        <v>500</v>
      </c>
      <c r="I53" s="55">
        <v>6.8</v>
      </c>
      <c r="J53" s="54">
        <v>523</v>
      </c>
      <c r="K53" s="55">
        <v>10</v>
      </c>
    </row>
    <row r="54" spans="2:11" ht="15.75" thickBot="1">
      <c r="B54" s="56">
        <v>700</v>
      </c>
      <c r="C54" s="57">
        <v>2.4</v>
      </c>
      <c r="D54" s="56">
        <v>700</v>
      </c>
      <c r="E54" s="57">
        <v>3.4</v>
      </c>
      <c r="F54" s="56">
        <v>700</v>
      </c>
      <c r="G54" s="57">
        <v>5.65</v>
      </c>
      <c r="H54" s="56">
        <v>700</v>
      </c>
      <c r="I54" s="57">
        <v>8.2</v>
      </c>
      <c r="J54" s="56">
        <v>700</v>
      </c>
      <c r="K54" s="57">
        <v>11.75</v>
      </c>
    </row>
    <row r="55" spans="2:11" ht="16.5" thickBot="1">
      <c r="B55" s="181" t="s">
        <v>45</v>
      </c>
      <c r="C55" s="182"/>
      <c r="D55" s="181" t="s">
        <v>60</v>
      </c>
      <c r="E55" s="182"/>
      <c r="F55" s="181" t="s">
        <v>44</v>
      </c>
      <c r="G55" s="182"/>
      <c r="H55" s="181" t="s">
        <v>43</v>
      </c>
      <c r="I55" s="182"/>
      <c r="J55" s="181" t="s">
        <v>46</v>
      </c>
      <c r="K55" s="182"/>
    </row>
    <row r="56" spans="2:11" ht="15.75" thickBot="1">
      <c r="B56" s="49"/>
      <c r="C56" s="49"/>
      <c r="D56" s="49"/>
      <c r="E56" s="49"/>
      <c r="F56" s="49"/>
      <c r="G56" s="49"/>
      <c r="H56" s="49"/>
      <c r="I56" s="49"/>
      <c r="J56" s="49"/>
      <c r="K56" s="49"/>
    </row>
    <row r="57" spans="2:11" ht="16.5" thickBot="1">
      <c r="B57" s="181">
        <v>30</v>
      </c>
      <c r="C57" s="182"/>
      <c r="D57" s="181">
        <v>45</v>
      </c>
      <c r="E57" s="182"/>
      <c r="F57" s="181">
        <v>60</v>
      </c>
      <c r="G57" s="182"/>
      <c r="H57" s="181">
        <v>75</v>
      </c>
      <c r="I57" s="182"/>
      <c r="J57" s="181">
        <v>100</v>
      </c>
      <c r="K57" s="182"/>
    </row>
    <row r="58" spans="2:11" ht="15">
      <c r="B58" s="50">
        <v>5</v>
      </c>
      <c r="C58" s="58">
        <v>0.86</v>
      </c>
      <c r="D58" s="50">
        <v>5</v>
      </c>
      <c r="E58" s="58">
        <v>1.02</v>
      </c>
      <c r="F58" s="50">
        <v>5</v>
      </c>
      <c r="G58" s="58">
        <v>1.16</v>
      </c>
      <c r="H58" s="50">
        <v>5</v>
      </c>
      <c r="I58" s="58">
        <v>1.27</v>
      </c>
      <c r="J58" s="50">
        <v>5.5</v>
      </c>
      <c r="K58" s="58">
        <v>1.5</v>
      </c>
    </row>
    <row r="59" spans="2:11" ht="15">
      <c r="B59" s="52">
        <v>10</v>
      </c>
      <c r="C59" s="55">
        <v>1.27</v>
      </c>
      <c r="D59" s="52">
        <v>10</v>
      </c>
      <c r="E59" s="55">
        <v>1.52</v>
      </c>
      <c r="F59" s="52">
        <v>10</v>
      </c>
      <c r="G59" s="55">
        <v>1.72</v>
      </c>
      <c r="H59" s="52">
        <v>10</v>
      </c>
      <c r="I59" s="55">
        <v>1.9</v>
      </c>
      <c r="J59" s="54">
        <v>8.7</v>
      </c>
      <c r="K59" s="55">
        <v>2</v>
      </c>
    </row>
    <row r="60" spans="2:11" ht="15">
      <c r="B60" s="52">
        <v>15</v>
      </c>
      <c r="C60" s="55">
        <v>1.62</v>
      </c>
      <c r="D60" s="52">
        <v>15</v>
      </c>
      <c r="E60" s="55">
        <v>1.94</v>
      </c>
      <c r="F60" s="52">
        <v>15</v>
      </c>
      <c r="G60" s="55">
        <v>2.22</v>
      </c>
      <c r="H60" s="52">
        <v>15</v>
      </c>
      <c r="I60" s="55">
        <v>2.45</v>
      </c>
      <c r="J60" s="54">
        <v>12.5</v>
      </c>
      <c r="K60" s="55">
        <v>2.5</v>
      </c>
    </row>
    <row r="61" spans="2:11" ht="15">
      <c r="B61" s="52">
        <v>20</v>
      </c>
      <c r="C61" s="55">
        <v>1.9</v>
      </c>
      <c r="D61" s="52">
        <v>20</v>
      </c>
      <c r="E61" s="55">
        <v>2.28</v>
      </c>
      <c r="F61" s="52">
        <v>20</v>
      </c>
      <c r="G61" s="55">
        <v>2.6</v>
      </c>
      <c r="H61" s="52">
        <v>20</v>
      </c>
      <c r="I61" s="55">
        <v>2.88</v>
      </c>
      <c r="J61" s="54">
        <v>22.4</v>
      </c>
      <c r="K61" s="55">
        <v>3.5</v>
      </c>
    </row>
    <row r="62" spans="2:11" ht="15">
      <c r="B62" s="52">
        <v>30</v>
      </c>
      <c r="C62" s="55">
        <v>2.37</v>
      </c>
      <c r="D62" s="52">
        <v>30</v>
      </c>
      <c r="E62" s="55">
        <v>2.87</v>
      </c>
      <c r="F62" s="52">
        <v>30</v>
      </c>
      <c r="G62" s="55">
        <v>3.27</v>
      </c>
      <c r="H62" s="52">
        <v>30</v>
      </c>
      <c r="I62" s="55">
        <v>3.65</v>
      </c>
      <c r="J62" s="54">
        <v>30</v>
      </c>
      <c r="K62" s="55">
        <v>4.2</v>
      </c>
    </row>
    <row r="63" spans="2:11" ht="15">
      <c r="B63" s="52">
        <v>45</v>
      </c>
      <c r="C63" s="59">
        <v>3.02</v>
      </c>
      <c r="D63" s="52">
        <v>45</v>
      </c>
      <c r="E63" s="59">
        <v>3.67</v>
      </c>
      <c r="F63" s="52">
        <v>45</v>
      </c>
      <c r="G63" s="59">
        <v>4.2</v>
      </c>
      <c r="H63" s="52">
        <v>45</v>
      </c>
      <c r="I63" s="59">
        <v>4.51</v>
      </c>
      <c r="J63" s="54">
        <v>40</v>
      </c>
      <c r="K63" s="59">
        <v>5</v>
      </c>
    </row>
    <row r="64" spans="2:11" ht="15">
      <c r="B64" s="52">
        <v>100</v>
      </c>
      <c r="C64" s="59">
        <v>4.8</v>
      </c>
      <c r="D64" s="52">
        <v>100</v>
      </c>
      <c r="E64" s="59">
        <v>5.8</v>
      </c>
      <c r="F64" s="52">
        <v>100</v>
      </c>
      <c r="G64" s="59">
        <v>6.6</v>
      </c>
      <c r="H64" s="52">
        <v>100</v>
      </c>
      <c r="I64" s="59">
        <v>7.5</v>
      </c>
      <c r="J64" s="60">
        <v>100</v>
      </c>
      <c r="K64" s="61">
        <v>8.6</v>
      </c>
    </row>
    <row r="65" spans="2:11" ht="15">
      <c r="B65" s="52">
        <v>200</v>
      </c>
      <c r="C65" s="59">
        <v>7.2</v>
      </c>
      <c r="D65" s="52">
        <v>200</v>
      </c>
      <c r="E65" s="59">
        <v>8.7</v>
      </c>
      <c r="F65" s="52">
        <v>200</v>
      </c>
      <c r="G65" s="59">
        <v>10.15</v>
      </c>
      <c r="H65" s="52">
        <v>200</v>
      </c>
      <c r="I65" s="59">
        <v>11.3</v>
      </c>
      <c r="J65" s="54">
        <v>200</v>
      </c>
      <c r="K65" s="59">
        <v>13</v>
      </c>
    </row>
    <row r="66" spans="2:11" ht="15">
      <c r="B66" s="54">
        <v>300</v>
      </c>
      <c r="C66" s="55">
        <v>9</v>
      </c>
      <c r="D66" s="54">
        <v>300</v>
      </c>
      <c r="E66" s="55">
        <v>11.1</v>
      </c>
      <c r="F66" s="54">
        <v>300</v>
      </c>
      <c r="G66" s="55">
        <v>12.8</v>
      </c>
      <c r="H66" s="54">
        <v>300</v>
      </c>
      <c r="I66" s="55">
        <v>14.35</v>
      </c>
      <c r="J66" s="54">
        <v>300</v>
      </c>
      <c r="K66" s="59">
        <v>16.6</v>
      </c>
    </row>
    <row r="67" spans="2:11" ht="15">
      <c r="B67" s="54">
        <v>400</v>
      </c>
      <c r="C67" s="55">
        <v>10.5</v>
      </c>
      <c r="D67" s="54">
        <v>400</v>
      </c>
      <c r="E67" s="55">
        <v>13</v>
      </c>
      <c r="F67" s="54">
        <v>400</v>
      </c>
      <c r="G67" s="55">
        <v>15.2</v>
      </c>
      <c r="H67" s="54">
        <v>400</v>
      </c>
      <c r="I67" s="55">
        <v>17</v>
      </c>
      <c r="J67" s="54">
        <v>400</v>
      </c>
      <c r="K67" s="55">
        <v>19.7</v>
      </c>
    </row>
    <row r="68" spans="2:11" ht="15">
      <c r="B68" s="54">
        <v>500</v>
      </c>
      <c r="C68" s="55">
        <v>12</v>
      </c>
      <c r="D68" s="54">
        <v>500</v>
      </c>
      <c r="E68" s="55">
        <v>14.9</v>
      </c>
      <c r="F68" s="54">
        <v>500</v>
      </c>
      <c r="G68" s="55">
        <v>17.35</v>
      </c>
      <c r="H68" s="54">
        <v>500</v>
      </c>
      <c r="I68" s="55">
        <v>19.4</v>
      </c>
      <c r="J68" s="54">
        <v>588</v>
      </c>
      <c r="K68" s="55">
        <v>25</v>
      </c>
    </row>
    <row r="69" spans="2:11" ht="15.75" thickBot="1">
      <c r="B69" s="56">
        <v>700</v>
      </c>
      <c r="C69" s="57">
        <v>14.6</v>
      </c>
      <c r="D69" s="56">
        <v>700</v>
      </c>
      <c r="E69" s="57">
        <v>18.1</v>
      </c>
      <c r="F69" s="56">
        <v>700</v>
      </c>
      <c r="G69" s="57">
        <v>21.1</v>
      </c>
      <c r="H69" s="56">
        <v>700</v>
      </c>
      <c r="I69" s="57">
        <v>23.7</v>
      </c>
      <c r="J69" s="56">
        <v>700</v>
      </c>
      <c r="K69" s="57">
        <v>27.7</v>
      </c>
    </row>
    <row r="70" spans="2:11" ht="16.5" thickBot="1">
      <c r="B70" s="181" t="s">
        <v>47</v>
      </c>
      <c r="C70" s="182"/>
      <c r="D70" s="181" t="s">
        <v>48</v>
      </c>
      <c r="E70" s="182"/>
      <c r="F70" s="181" t="s">
        <v>49</v>
      </c>
      <c r="G70" s="182"/>
      <c r="H70" s="181" t="s">
        <v>50</v>
      </c>
      <c r="I70" s="182"/>
      <c r="J70" s="181" t="s">
        <v>51</v>
      </c>
      <c r="K70" s="182"/>
    </row>
  </sheetData>
  <sheetProtection password="CC67" sheet="1" objects="1" scenarios="1"/>
  <mergeCells count="20">
    <mergeCell ref="J55:K55"/>
    <mergeCell ref="B42:C42"/>
    <mergeCell ref="D42:E42"/>
    <mergeCell ref="F42:G42"/>
    <mergeCell ref="H42:I42"/>
    <mergeCell ref="J42:K42"/>
    <mergeCell ref="B55:C55"/>
    <mergeCell ref="D55:E55"/>
    <mergeCell ref="F55:G55"/>
    <mergeCell ref="H55:I55"/>
    <mergeCell ref="J57:K57"/>
    <mergeCell ref="B70:C70"/>
    <mergeCell ref="D70:E70"/>
    <mergeCell ref="F70:G70"/>
    <mergeCell ref="H70:I70"/>
    <mergeCell ref="J70:K70"/>
    <mergeCell ref="B57:C57"/>
    <mergeCell ref="D57:E57"/>
    <mergeCell ref="F57:G57"/>
    <mergeCell ref="H57:I5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B2" sqref="B2"/>
    </sheetView>
  </sheetViews>
  <sheetFormatPr defaultColWidth="8.796875" defaultRowHeight="15"/>
  <cols>
    <col min="1" max="1" width="8.296875" style="10" customWidth="1"/>
    <col min="2" max="16384" width="7.09765625" style="10" customWidth="1"/>
  </cols>
  <sheetData>
    <row r="1" spans="1:2" ht="12.75">
      <c r="A1" s="62" t="s">
        <v>31</v>
      </c>
      <c r="B1" s="63" t="s">
        <v>72</v>
      </c>
    </row>
    <row r="2" spans="1:2" ht="12.75">
      <c r="A2" s="12">
        <v>5</v>
      </c>
      <c r="B2" s="13">
        <v>0.42</v>
      </c>
    </row>
    <row r="3" spans="1:2" ht="12.75">
      <c r="A3" s="12">
        <v>20</v>
      </c>
      <c r="B3" s="13">
        <v>0.47</v>
      </c>
    </row>
    <row r="4" spans="1:2" ht="13.5" thickBot="1">
      <c r="A4" s="14">
        <v>40</v>
      </c>
      <c r="B4" s="15">
        <v>0.53</v>
      </c>
    </row>
    <row r="7" spans="1:2" ht="12.75">
      <c r="A7" s="47" t="s">
        <v>33</v>
      </c>
      <c r="B7" s="47"/>
    </row>
    <row r="8" spans="1:2" ht="12.75">
      <c r="A8" s="47" t="s">
        <v>34</v>
      </c>
      <c r="B8" s="47"/>
    </row>
    <row r="9" spans="1:2" ht="12.75">
      <c r="A9" s="47"/>
      <c r="B9" s="47"/>
    </row>
    <row r="10" spans="1:2" ht="12.75">
      <c r="A10" s="47" t="s">
        <v>35</v>
      </c>
      <c r="B10" s="47"/>
    </row>
    <row r="11" spans="1:2" ht="12.75">
      <c r="A11" s="47" t="s">
        <v>78</v>
      </c>
      <c r="B11" s="47"/>
    </row>
    <row r="12" spans="1:2" ht="12.75">
      <c r="A12" s="47" t="s">
        <v>34</v>
      </c>
      <c r="B12" s="47"/>
    </row>
    <row r="14" ht="12.75">
      <c r="A14" s="47" t="s">
        <v>35</v>
      </c>
    </row>
    <row r="15" ht="12.75">
      <c r="A15" s="47" t="s">
        <v>79</v>
      </c>
    </row>
    <row r="16" ht="12.75">
      <c r="A16" s="47" t="s">
        <v>82</v>
      </c>
    </row>
    <row r="23" spans="4:10" ht="12.75">
      <c r="D23" s="183" t="s">
        <v>83</v>
      </c>
      <c r="E23" s="184"/>
      <c r="F23" s="184"/>
      <c r="G23" s="184"/>
      <c r="H23" s="184"/>
      <c r="I23" s="184"/>
      <c r="J23" s="184"/>
    </row>
    <row r="24" spans="4:10" ht="12.75">
      <c r="D24" s="184"/>
      <c r="E24" s="184"/>
      <c r="F24" s="184"/>
      <c r="G24" s="184"/>
      <c r="H24" s="184"/>
      <c r="I24" s="184"/>
      <c r="J24" s="184"/>
    </row>
    <row r="25" spans="4:10" ht="12.75">
      <c r="D25" s="184"/>
      <c r="E25" s="184"/>
      <c r="F25" s="184"/>
      <c r="G25" s="184"/>
      <c r="H25" s="184"/>
      <c r="I25" s="184"/>
      <c r="J25" s="184"/>
    </row>
    <row r="26" spans="4:10" ht="12.75">
      <c r="D26" s="184"/>
      <c r="E26" s="184"/>
      <c r="F26" s="184"/>
      <c r="G26" s="184"/>
      <c r="H26" s="184"/>
      <c r="I26" s="184"/>
      <c r="J26" s="184"/>
    </row>
    <row r="27" spans="4:10" ht="12.75">
      <c r="D27" s="184"/>
      <c r="E27" s="184"/>
      <c r="F27" s="184"/>
      <c r="G27" s="184"/>
      <c r="H27" s="184"/>
      <c r="I27" s="184"/>
      <c r="J27" s="184"/>
    </row>
    <row r="28" spans="4:10" ht="12.75">
      <c r="D28" s="184"/>
      <c r="E28" s="184"/>
      <c r="F28" s="184"/>
      <c r="G28" s="184"/>
      <c r="H28" s="184"/>
      <c r="I28" s="184"/>
      <c r="J28" s="184"/>
    </row>
  </sheetData>
  <sheetProtection password="CC67" sheet="1" objects="1" scenarios="1"/>
  <mergeCells count="1">
    <mergeCell ref="D23:J28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showGridLines="0" workbookViewId="0" topLeftCell="A1">
      <selection activeCell="A1" sqref="A1"/>
    </sheetView>
  </sheetViews>
  <sheetFormatPr defaultColWidth="8.796875" defaultRowHeight="15"/>
  <cols>
    <col min="1" max="1" width="9.19921875" style="10" bestFit="1" customWidth="1"/>
    <col min="2" max="2" width="7.59765625" style="10" bestFit="1" customWidth="1"/>
    <col min="3" max="3" width="3.796875" style="10" customWidth="1"/>
    <col min="4" max="16384" width="7.09765625" style="10" customWidth="1"/>
  </cols>
  <sheetData>
    <row r="1" spans="1:2" ht="12.75">
      <c r="A1" s="62" t="s">
        <v>29</v>
      </c>
      <c r="B1" s="63" t="s">
        <v>72</v>
      </c>
    </row>
    <row r="2" spans="1:2" ht="12.75">
      <c r="A2" s="12">
        <v>0.124</v>
      </c>
      <c r="B2" s="13">
        <v>1.02</v>
      </c>
    </row>
    <row r="3" spans="1:2" ht="13.5" thickBot="1">
      <c r="A3" s="14">
        <v>0.138</v>
      </c>
      <c r="B3" s="15">
        <v>1</v>
      </c>
    </row>
  </sheetData>
  <sheetProtection password="CC67" sheet="1" objects="1" scenarios="1"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showGridLines="0" workbookViewId="0" topLeftCell="A1">
      <selection activeCell="C4" sqref="C4"/>
    </sheetView>
  </sheetViews>
  <sheetFormatPr defaultColWidth="8.796875" defaultRowHeight="15"/>
  <cols>
    <col min="1" max="1" width="8.296875" style="10" customWidth="1"/>
    <col min="2" max="16384" width="7.09765625" style="10" customWidth="1"/>
  </cols>
  <sheetData>
    <row r="1" spans="1:2" ht="12.75">
      <c r="A1" s="62" t="s">
        <v>30</v>
      </c>
      <c r="B1" s="63" t="s">
        <v>72</v>
      </c>
    </row>
    <row r="2" spans="1:2" ht="12.75">
      <c r="A2" s="12">
        <v>38</v>
      </c>
      <c r="B2" s="13">
        <v>1.6</v>
      </c>
    </row>
    <row r="3" spans="1:2" ht="12.75">
      <c r="A3" s="67">
        <v>59</v>
      </c>
      <c r="B3" s="66">
        <v>1.15</v>
      </c>
    </row>
    <row r="4" spans="1:2" ht="13.5" thickBot="1">
      <c r="A4" s="68">
        <v>70</v>
      </c>
      <c r="B4" s="69">
        <v>1</v>
      </c>
    </row>
    <row r="23" spans="1:9" ht="12.75">
      <c r="A23" s="185" t="s">
        <v>81</v>
      </c>
      <c r="B23" s="185"/>
      <c r="C23" s="185"/>
      <c r="D23" s="185"/>
      <c r="E23" s="185"/>
      <c r="F23" s="185"/>
      <c r="G23" s="185"/>
      <c r="H23" s="185"/>
      <c r="I23" s="185"/>
    </row>
    <row r="24" spans="1:9" ht="12.75">
      <c r="A24" s="185"/>
      <c r="B24" s="185"/>
      <c r="C24" s="185"/>
      <c r="D24" s="185"/>
      <c r="E24" s="185"/>
      <c r="F24" s="185"/>
      <c r="G24" s="185"/>
      <c r="H24" s="185"/>
      <c r="I24" s="185"/>
    </row>
    <row r="25" spans="1:9" ht="12.75">
      <c r="A25" s="185"/>
      <c r="B25" s="185"/>
      <c r="C25" s="185"/>
      <c r="D25" s="185"/>
      <c r="E25" s="185"/>
      <c r="F25" s="185"/>
      <c r="G25" s="185"/>
      <c r="H25" s="185"/>
      <c r="I25" s="185"/>
    </row>
    <row r="26" spans="1:9" ht="12.75">
      <c r="A26" s="185"/>
      <c r="B26" s="185"/>
      <c r="C26" s="185"/>
      <c r="D26" s="185"/>
      <c r="E26" s="185"/>
      <c r="F26" s="185"/>
      <c r="G26" s="185"/>
      <c r="H26" s="185"/>
      <c r="I26" s="185"/>
    </row>
  </sheetData>
  <sheetProtection password="CC67" sheet="1" objects="1" scenarios="1"/>
  <mergeCells count="1">
    <mergeCell ref="A23:I2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55"/>
  <sheetViews>
    <sheetView showGridLines="0" workbookViewId="0" topLeftCell="A12">
      <selection activeCell="K26" sqref="K26"/>
    </sheetView>
  </sheetViews>
  <sheetFormatPr defaultColWidth="8.796875" defaultRowHeight="15"/>
  <cols>
    <col min="1" max="1" width="2.796875" style="1" customWidth="1"/>
    <col min="2" max="8" width="4.796875" style="1" customWidth="1"/>
    <col min="9" max="9" width="6.796875" style="1" customWidth="1"/>
    <col min="10" max="14" width="5.796875" style="1" customWidth="1"/>
    <col min="15" max="15" width="1.796875" style="1" customWidth="1"/>
    <col min="16" max="20" width="5.796875" style="1" customWidth="1"/>
    <col min="21" max="21" width="1.796875" style="1" customWidth="1"/>
    <col min="22" max="26" width="5.796875" style="1" customWidth="1"/>
    <col min="27" max="27" width="1.796875" style="1" customWidth="1"/>
    <col min="28" max="32" width="5.796875" style="1" customWidth="1"/>
    <col min="33" max="33" width="1.796875" style="1" customWidth="1"/>
    <col min="34" max="38" width="5.796875" style="1" customWidth="1"/>
    <col min="39" max="39" width="2.796875" style="1" customWidth="1"/>
    <col min="40" max="44" width="4.796875" style="1" customWidth="1"/>
    <col min="45" max="45" width="2.796875" style="1" customWidth="1"/>
    <col min="46" max="46" width="4.796875" style="1" customWidth="1"/>
    <col min="47" max="49" width="6.59765625" style="1" bestFit="1" customWidth="1"/>
    <col min="50" max="50" width="4.796875" style="1" customWidth="1"/>
    <col min="51" max="16384" width="8.8984375" style="1" customWidth="1"/>
  </cols>
  <sheetData>
    <row r="1" spans="1:38" ht="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1:38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</row>
    <row r="3" spans="1:38" ht="15.75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</row>
    <row r="4" spans="1:50" ht="15.75" thickBot="1">
      <c r="A4" s="17"/>
      <c r="B4" s="17"/>
      <c r="C4" s="193" t="s">
        <v>6</v>
      </c>
      <c r="D4" s="194"/>
      <c r="E4" s="194"/>
      <c r="F4" s="194"/>
      <c r="G4" s="194"/>
      <c r="H4" s="195"/>
      <c r="I4" s="17"/>
      <c r="J4" s="17"/>
      <c r="K4" s="193" t="s">
        <v>0</v>
      </c>
      <c r="L4" s="194"/>
      <c r="M4" s="194"/>
      <c r="N4" s="195"/>
      <c r="O4" s="21"/>
      <c r="P4" s="17"/>
      <c r="Q4" s="193" t="s">
        <v>7</v>
      </c>
      <c r="R4" s="194"/>
      <c r="S4" s="194"/>
      <c r="T4" s="195"/>
      <c r="U4" s="17"/>
      <c r="V4" s="17"/>
      <c r="W4" s="193" t="s">
        <v>9</v>
      </c>
      <c r="X4" s="194"/>
      <c r="Y4" s="194"/>
      <c r="Z4" s="195"/>
      <c r="AA4" s="17"/>
      <c r="AB4" s="17"/>
      <c r="AC4" s="193" t="s">
        <v>10</v>
      </c>
      <c r="AD4" s="194"/>
      <c r="AE4" s="194"/>
      <c r="AF4" s="195"/>
      <c r="AG4" s="17"/>
      <c r="AH4" s="17"/>
      <c r="AI4" s="193" t="s">
        <v>8</v>
      </c>
      <c r="AJ4" s="194"/>
      <c r="AK4" s="194"/>
      <c r="AL4" s="195"/>
      <c r="AN4" s="3"/>
      <c r="AO4" s="3"/>
      <c r="AP4" s="3"/>
      <c r="AQ4" s="3"/>
      <c r="AR4" s="3"/>
      <c r="AT4" s="3"/>
      <c r="AU4" s="3"/>
      <c r="AV4" s="3"/>
      <c r="AW4" s="3"/>
      <c r="AX4" s="3"/>
    </row>
    <row r="5" spans="1:50" ht="15.75" thickBot="1">
      <c r="A5" s="17"/>
      <c r="B5" s="17"/>
      <c r="C5" s="18" t="s">
        <v>1</v>
      </c>
      <c r="D5" s="19" t="s">
        <v>2</v>
      </c>
      <c r="E5" s="19" t="s">
        <v>14</v>
      </c>
      <c r="F5" s="19" t="s">
        <v>3</v>
      </c>
      <c r="G5" s="19" t="s">
        <v>5</v>
      </c>
      <c r="H5" s="20" t="s">
        <v>4</v>
      </c>
      <c r="I5" s="17"/>
      <c r="J5" s="17"/>
      <c r="K5" s="18">
        <v>0.5</v>
      </c>
      <c r="L5" s="19">
        <v>1</v>
      </c>
      <c r="M5" s="19">
        <v>2</v>
      </c>
      <c r="N5" s="20">
        <v>3</v>
      </c>
      <c r="O5" s="21"/>
      <c r="P5" s="17"/>
      <c r="Q5" s="22">
        <v>0.5</v>
      </c>
      <c r="R5" s="23">
        <v>1</v>
      </c>
      <c r="S5" s="23">
        <v>2</v>
      </c>
      <c r="T5" s="24">
        <v>3</v>
      </c>
      <c r="U5" s="17"/>
      <c r="V5" s="17"/>
      <c r="W5" s="18">
        <v>0.5</v>
      </c>
      <c r="X5" s="19">
        <v>1</v>
      </c>
      <c r="Y5" s="19">
        <v>2</v>
      </c>
      <c r="Z5" s="20">
        <v>3</v>
      </c>
      <c r="AA5" s="17"/>
      <c r="AB5" s="17"/>
      <c r="AC5" s="18">
        <v>0.5</v>
      </c>
      <c r="AD5" s="19">
        <v>1</v>
      </c>
      <c r="AE5" s="19">
        <v>2</v>
      </c>
      <c r="AF5" s="20">
        <v>3</v>
      </c>
      <c r="AG5" s="17"/>
      <c r="AH5" s="17"/>
      <c r="AI5" s="18">
        <v>0.5</v>
      </c>
      <c r="AJ5" s="19">
        <v>1</v>
      </c>
      <c r="AK5" s="19">
        <v>2</v>
      </c>
      <c r="AL5" s="20">
        <v>3</v>
      </c>
      <c r="AN5" s="3"/>
      <c r="AO5" s="3"/>
      <c r="AP5" s="3"/>
      <c r="AQ5" s="3"/>
      <c r="AR5" s="3"/>
      <c r="AT5" s="3"/>
      <c r="AU5" s="3"/>
      <c r="AV5" s="3"/>
      <c r="AW5" s="3"/>
      <c r="AX5" s="3"/>
    </row>
    <row r="6" spans="1:50" ht="15">
      <c r="A6" s="17"/>
      <c r="B6" s="25">
        <v>100</v>
      </c>
      <c r="C6" s="26">
        <v>595</v>
      </c>
      <c r="D6" s="27">
        <v>300</v>
      </c>
      <c r="E6" s="27">
        <v>90</v>
      </c>
      <c r="F6" s="27">
        <v>27</v>
      </c>
      <c r="G6" s="27">
        <v>8</v>
      </c>
      <c r="H6" s="27"/>
      <c r="I6" s="17"/>
      <c r="J6" s="25" t="s">
        <v>1</v>
      </c>
      <c r="K6" s="26">
        <f>C6</f>
        <v>595</v>
      </c>
      <c r="L6" s="27">
        <f>C15</f>
        <v>590</v>
      </c>
      <c r="M6" s="27">
        <f>C24</f>
        <v>690</v>
      </c>
      <c r="N6" s="27">
        <f>C33</f>
        <v>745</v>
      </c>
      <c r="O6" s="17"/>
      <c r="P6" s="28" t="s">
        <v>1</v>
      </c>
      <c r="Q6" s="29">
        <f>C7</f>
        <v>765</v>
      </c>
      <c r="R6" s="29">
        <f>C16</f>
        <v>770</v>
      </c>
      <c r="S6" s="29"/>
      <c r="T6" s="29"/>
      <c r="U6" s="17"/>
      <c r="V6" s="25" t="s">
        <v>1</v>
      </c>
      <c r="W6" s="26"/>
      <c r="X6" s="27"/>
      <c r="Y6" s="27"/>
      <c r="Z6" s="27"/>
      <c r="AA6" s="17"/>
      <c r="AB6" s="25" t="s">
        <v>1</v>
      </c>
      <c r="AC6" s="26"/>
      <c r="AD6" s="27"/>
      <c r="AE6" s="27"/>
      <c r="AF6" s="27"/>
      <c r="AG6" s="17"/>
      <c r="AH6" s="25" t="s">
        <v>1</v>
      </c>
      <c r="AI6" s="26"/>
      <c r="AJ6" s="27"/>
      <c r="AK6" s="27"/>
      <c r="AL6" s="27"/>
      <c r="AN6" s="3"/>
      <c r="AO6" s="3"/>
      <c r="AP6" s="3"/>
      <c r="AQ6" s="3"/>
      <c r="AR6" s="3"/>
      <c r="AT6" s="3"/>
      <c r="AU6" s="3"/>
      <c r="AV6" s="3"/>
      <c r="AW6" s="3"/>
      <c r="AX6" s="3"/>
    </row>
    <row r="7" spans="1:50" ht="15">
      <c r="A7" s="17"/>
      <c r="B7" s="30">
        <v>75</v>
      </c>
      <c r="C7" s="31">
        <v>765</v>
      </c>
      <c r="D7" s="29">
        <v>395</v>
      </c>
      <c r="E7" s="29">
        <v>125</v>
      </c>
      <c r="F7" s="29">
        <v>36</v>
      </c>
      <c r="G7" s="29">
        <v>10.8</v>
      </c>
      <c r="H7" s="29"/>
      <c r="I7" s="17"/>
      <c r="J7" s="30" t="s">
        <v>2</v>
      </c>
      <c r="K7" s="31">
        <f>D6</f>
        <v>300</v>
      </c>
      <c r="L7" s="29">
        <f>D15</f>
        <v>300</v>
      </c>
      <c r="M7" s="29">
        <f>D24</f>
        <v>345</v>
      </c>
      <c r="N7" s="29">
        <f>D33</f>
        <v>370</v>
      </c>
      <c r="O7" s="17"/>
      <c r="P7" s="32" t="s">
        <v>2</v>
      </c>
      <c r="Q7" s="29">
        <f>D7</f>
        <v>395</v>
      </c>
      <c r="R7" s="29">
        <f>D16</f>
        <v>390</v>
      </c>
      <c r="S7" s="29">
        <f>D25</f>
        <v>445</v>
      </c>
      <c r="T7" s="29">
        <f>D34</f>
        <v>480</v>
      </c>
      <c r="U7" s="17"/>
      <c r="V7" s="30" t="s">
        <v>2</v>
      </c>
      <c r="W7" s="31">
        <f>D8</f>
        <v>635</v>
      </c>
      <c r="X7" s="29">
        <f>D17</f>
        <v>630</v>
      </c>
      <c r="Y7" s="29">
        <f>D26</f>
        <v>710</v>
      </c>
      <c r="Z7" s="29">
        <f>D35</f>
        <v>760</v>
      </c>
      <c r="AA7" s="17"/>
      <c r="AB7" s="30" t="s">
        <v>2</v>
      </c>
      <c r="AC7" s="31"/>
      <c r="AD7" s="29"/>
      <c r="AE7" s="29"/>
      <c r="AF7" s="29"/>
      <c r="AG7" s="17"/>
      <c r="AH7" s="30" t="s">
        <v>2</v>
      </c>
      <c r="AI7" s="31"/>
      <c r="AJ7" s="29"/>
      <c r="AK7" s="29"/>
      <c r="AL7" s="29"/>
      <c r="AN7" s="3"/>
      <c r="AO7" s="3"/>
      <c r="AP7" s="3"/>
      <c r="AQ7" s="3"/>
      <c r="AR7" s="3"/>
      <c r="AT7" s="3"/>
      <c r="AU7" s="3"/>
      <c r="AV7" s="3"/>
      <c r="AW7" s="3"/>
      <c r="AX7" s="3"/>
    </row>
    <row r="8" spans="1:50" ht="15">
      <c r="A8" s="17"/>
      <c r="B8" s="30">
        <v>45</v>
      </c>
      <c r="C8" s="31"/>
      <c r="D8" s="29">
        <v>635</v>
      </c>
      <c r="E8" s="29">
        <v>190</v>
      </c>
      <c r="F8" s="29">
        <v>57</v>
      </c>
      <c r="G8" s="29">
        <v>17</v>
      </c>
      <c r="H8" s="29"/>
      <c r="I8" s="17"/>
      <c r="J8" s="30" t="s">
        <v>14</v>
      </c>
      <c r="K8" s="31">
        <f>E6</f>
        <v>90</v>
      </c>
      <c r="L8" s="29">
        <f>E15</f>
        <v>92</v>
      </c>
      <c r="M8" s="29">
        <f>E24</f>
        <v>105</v>
      </c>
      <c r="N8" s="29">
        <f>E33</f>
        <v>112</v>
      </c>
      <c r="O8" s="17"/>
      <c r="P8" s="32" t="s">
        <v>14</v>
      </c>
      <c r="Q8" s="29">
        <f>E7</f>
        <v>125</v>
      </c>
      <c r="R8" s="29">
        <f>E16</f>
        <v>120</v>
      </c>
      <c r="S8" s="29">
        <f>E25</f>
        <v>135</v>
      </c>
      <c r="T8" s="29">
        <f>E34</f>
        <v>145</v>
      </c>
      <c r="U8" s="17"/>
      <c r="V8" s="30" t="s">
        <v>14</v>
      </c>
      <c r="W8" s="31">
        <f>E8</f>
        <v>190</v>
      </c>
      <c r="X8" s="29">
        <f>E17</f>
        <v>190</v>
      </c>
      <c r="Y8" s="29">
        <f>E26</f>
        <v>215</v>
      </c>
      <c r="Z8" s="29">
        <f>E35</f>
        <v>225</v>
      </c>
      <c r="AA8" s="17"/>
      <c r="AB8" s="30" t="s">
        <v>14</v>
      </c>
      <c r="AC8" s="31">
        <f>E9</f>
        <v>410</v>
      </c>
      <c r="AD8" s="29">
        <f>E18</f>
        <v>410</v>
      </c>
      <c r="AE8" s="29">
        <f>E27</f>
        <v>445</v>
      </c>
      <c r="AF8" s="29">
        <f>E36</f>
        <v>478</v>
      </c>
      <c r="AG8" s="17"/>
      <c r="AH8" s="30" t="s">
        <v>14</v>
      </c>
      <c r="AI8" s="31"/>
      <c r="AJ8" s="29"/>
      <c r="AK8" s="29"/>
      <c r="AL8" s="29"/>
      <c r="AN8" s="3"/>
      <c r="AO8" s="3"/>
      <c r="AP8" s="3"/>
      <c r="AQ8" s="3"/>
      <c r="AR8" s="3"/>
      <c r="AT8" s="3"/>
      <c r="AU8" s="3"/>
      <c r="AV8" s="3"/>
      <c r="AW8" s="3"/>
      <c r="AX8" s="3"/>
    </row>
    <row r="9" spans="1:50" ht="15">
      <c r="A9" s="17"/>
      <c r="B9" s="30">
        <v>20</v>
      </c>
      <c r="C9" s="31"/>
      <c r="D9" s="29"/>
      <c r="E9" s="29">
        <v>410</v>
      </c>
      <c r="F9" s="29">
        <v>120</v>
      </c>
      <c r="G9" s="29">
        <v>35.5</v>
      </c>
      <c r="H9" s="29">
        <v>7</v>
      </c>
      <c r="I9" s="17"/>
      <c r="J9" s="30" t="s">
        <v>3</v>
      </c>
      <c r="K9" s="31">
        <f>F6</f>
        <v>27</v>
      </c>
      <c r="L9" s="29">
        <f>F15</f>
        <v>28</v>
      </c>
      <c r="M9" s="29">
        <f>F24</f>
        <v>32</v>
      </c>
      <c r="N9" s="29">
        <f>F33</f>
        <v>33.5</v>
      </c>
      <c r="O9" s="17"/>
      <c r="P9" s="32" t="s">
        <v>3</v>
      </c>
      <c r="Q9" s="29">
        <f>F7</f>
        <v>36</v>
      </c>
      <c r="R9" s="29">
        <f>F16</f>
        <v>36</v>
      </c>
      <c r="S9" s="29">
        <f>F25</f>
        <v>40.5</v>
      </c>
      <c r="T9" s="29">
        <f>F34</f>
        <v>42.4</v>
      </c>
      <c r="U9" s="17"/>
      <c r="V9" s="30" t="s">
        <v>3</v>
      </c>
      <c r="W9" s="31">
        <f>F8</f>
        <v>57</v>
      </c>
      <c r="X9" s="29">
        <f>56</f>
        <v>56</v>
      </c>
      <c r="Y9" s="29">
        <f>F26</f>
        <v>63</v>
      </c>
      <c r="Z9" s="29">
        <f>F35</f>
        <v>65</v>
      </c>
      <c r="AA9" s="17"/>
      <c r="AB9" s="30" t="s">
        <v>3</v>
      </c>
      <c r="AC9" s="31">
        <f>F9</f>
        <v>120</v>
      </c>
      <c r="AD9" s="29">
        <f>F18</f>
        <v>120</v>
      </c>
      <c r="AE9" s="29">
        <f>F27</f>
        <v>130</v>
      </c>
      <c r="AF9" s="29">
        <f>F36</f>
        <v>135</v>
      </c>
      <c r="AG9" s="17"/>
      <c r="AH9" s="30" t="s">
        <v>3</v>
      </c>
      <c r="AI9" s="31">
        <f>F10</f>
        <v>230</v>
      </c>
      <c r="AJ9" s="29">
        <f>F19</f>
        <v>225</v>
      </c>
      <c r="AK9" s="29">
        <f>F28</f>
        <v>240</v>
      </c>
      <c r="AL9" s="29">
        <f>F37</f>
        <v>260</v>
      </c>
      <c r="AN9" s="3"/>
      <c r="AO9" s="3"/>
      <c r="AP9" s="3"/>
      <c r="AQ9" s="3"/>
      <c r="AR9" s="3"/>
      <c r="AT9" s="3"/>
      <c r="AU9" s="3"/>
      <c r="AV9" s="3"/>
      <c r="AW9" s="3"/>
      <c r="AX9" s="3"/>
    </row>
    <row r="10" spans="1:50" ht="15.75" thickBot="1">
      <c r="A10" s="17"/>
      <c r="B10" s="33">
        <v>10</v>
      </c>
      <c r="C10" s="31"/>
      <c r="D10" s="29"/>
      <c r="E10" s="29"/>
      <c r="F10" s="29">
        <v>230</v>
      </c>
      <c r="G10" s="29">
        <v>65.2</v>
      </c>
      <c r="H10" s="29">
        <v>12.5</v>
      </c>
      <c r="I10" s="17"/>
      <c r="J10" s="30" t="s">
        <v>5</v>
      </c>
      <c r="K10" s="31">
        <f>G6</f>
        <v>8</v>
      </c>
      <c r="L10" s="29">
        <f>G15</f>
        <v>8.8</v>
      </c>
      <c r="M10" s="29">
        <f>G24</f>
        <v>9.5</v>
      </c>
      <c r="N10" s="29">
        <f>G33</f>
        <v>9.8</v>
      </c>
      <c r="O10" s="17"/>
      <c r="P10" s="32" t="s">
        <v>5</v>
      </c>
      <c r="Q10" s="29">
        <f>G7</f>
        <v>10.8</v>
      </c>
      <c r="R10" s="29">
        <f>G16</f>
        <v>11</v>
      </c>
      <c r="S10" s="29">
        <f>G25</f>
        <v>12.3</v>
      </c>
      <c r="T10" s="29">
        <f>G34</f>
        <v>12.5</v>
      </c>
      <c r="U10" s="17"/>
      <c r="V10" s="30" t="s">
        <v>5</v>
      </c>
      <c r="W10" s="31">
        <f>G8</f>
        <v>17</v>
      </c>
      <c r="X10" s="29">
        <f>G17</f>
        <v>16.5</v>
      </c>
      <c r="Y10" s="29">
        <f>G26</f>
        <v>18.5</v>
      </c>
      <c r="Z10" s="29">
        <f>G35</f>
        <v>18.8</v>
      </c>
      <c r="AA10" s="17"/>
      <c r="AB10" s="30" t="s">
        <v>5</v>
      </c>
      <c r="AC10" s="31">
        <f>G9</f>
        <v>35.5</v>
      </c>
      <c r="AD10" s="29">
        <f>G18</f>
        <v>34</v>
      </c>
      <c r="AE10" s="29">
        <f>G27</f>
        <v>37.5</v>
      </c>
      <c r="AF10" s="29">
        <f>G36</f>
        <v>38.6</v>
      </c>
      <c r="AG10" s="17"/>
      <c r="AH10" s="30" t="s">
        <v>5</v>
      </c>
      <c r="AI10" s="31">
        <f>G10</f>
        <v>65.2</v>
      </c>
      <c r="AJ10" s="29">
        <f>G19</f>
        <v>63.5</v>
      </c>
      <c r="AK10" s="29">
        <f>G28</f>
        <v>69</v>
      </c>
      <c r="AL10" s="29">
        <f>G37</f>
        <v>72</v>
      </c>
      <c r="AN10" s="3"/>
      <c r="AO10" s="3"/>
      <c r="AP10" s="3"/>
      <c r="AQ10" s="3"/>
      <c r="AR10" s="3"/>
      <c r="AT10" s="3"/>
      <c r="AU10" s="3"/>
      <c r="AV10" s="3"/>
      <c r="AW10" s="3"/>
      <c r="AX10" s="3"/>
    </row>
    <row r="11" spans="1:50" ht="15.75" thickBot="1">
      <c r="A11" s="17"/>
      <c r="B11" s="21"/>
      <c r="C11" s="17"/>
      <c r="D11" s="17"/>
      <c r="E11" s="17"/>
      <c r="F11" s="17"/>
      <c r="G11" s="17"/>
      <c r="H11" s="17"/>
      <c r="I11" s="17"/>
      <c r="J11" s="33" t="s">
        <v>4</v>
      </c>
      <c r="K11" s="31"/>
      <c r="L11" s="29"/>
      <c r="M11" s="29"/>
      <c r="N11" s="29"/>
      <c r="O11" s="17"/>
      <c r="P11" s="34" t="s">
        <v>4</v>
      </c>
      <c r="Q11" s="29"/>
      <c r="R11" s="29"/>
      <c r="S11" s="29"/>
      <c r="T11" s="29"/>
      <c r="U11" s="17"/>
      <c r="V11" s="33" t="s">
        <v>4</v>
      </c>
      <c r="W11" s="31"/>
      <c r="X11" s="29"/>
      <c r="Y11" s="29"/>
      <c r="Z11" s="29"/>
      <c r="AA11" s="17"/>
      <c r="AB11" s="33" t="s">
        <v>4</v>
      </c>
      <c r="AC11" s="31">
        <f>H9</f>
        <v>7</v>
      </c>
      <c r="AD11" s="29">
        <f>H18</f>
        <v>6.6</v>
      </c>
      <c r="AE11" s="29">
        <f>H27</f>
        <v>7.4</v>
      </c>
      <c r="AF11" s="29">
        <f>H36</f>
        <v>7.5</v>
      </c>
      <c r="AG11" s="17"/>
      <c r="AH11" s="33" t="s">
        <v>4</v>
      </c>
      <c r="AI11" s="31">
        <f>H10</f>
        <v>12.5</v>
      </c>
      <c r="AJ11" s="29">
        <f>H19</f>
        <v>11.8</v>
      </c>
      <c r="AK11" s="29">
        <f>H28</f>
        <v>13.2</v>
      </c>
      <c r="AL11" s="29">
        <f>H37</f>
        <v>13.3</v>
      </c>
      <c r="AN11" s="3"/>
      <c r="AO11" s="3"/>
      <c r="AP11" s="3"/>
      <c r="AQ11" s="3"/>
      <c r="AR11" s="3"/>
      <c r="AT11" s="3"/>
      <c r="AU11" s="3"/>
      <c r="AV11" s="3"/>
      <c r="AW11" s="3"/>
      <c r="AX11" s="3"/>
    </row>
    <row r="12" spans="1:46" ht="15.75" thickBot="1">
      <c r="A12" s="17"/>
      <c r="B12" s="21"/>
      <c r="C12" s="17"/>
      <c r="D12" s="17"/>
      <c r="E12" s="17"/>
      <c r="F12" s="17"/>
      <c r="G12" s="17"/>
      <c r="H12" s="17"/>
      <c r="I12" s="17"/>
      <c r="J12" s="21"/>
      <c r="K12" s="17"/>
      <c r="L12" s="17"/>
      <c r="M12" s="17"/>
      <c r="N12" s="17"/>
      <c r="O12" s="17"/>
      <c r="P12" s="21"/>
      <c r="Q12" s="17"/>
      <c r="R12" s="17"/>
      <c r="S12" s="17"/>
      <c r="T12" s="17"/>
      <c r="U12" s="17"/>
      <c r="V12" s="21"/>
      <c r="W12" s="17"/>
      <c r="X12" s="17"/>
      <c r="Y12" s="17"/>
      <c r="Z12" s="17"/>
      <c r="AA12" s="17"/>
      <c r="AB12" s="21"/>
      <c r="AC12" s="17"/>
      <c r="AD12" s="17"/>
      <c r="AE12" s="17"/>
      <c r="AF12" s="17"/>
      <c r="AG12" s="17"/>
      <c r="AH12" s="21"/>
      <c r="AI12" s="17"/>
      <c r="AJ12" s="17"/>
      <c r="AK12" s="17"/>
      <c r="AL12" s="17"/>
      <c r="AN12" s="2"/>
      <c r="AT12" s="2"/>
    </row>
    <row r="13" spans="1:50" ht="15.75" thickBot="1">
      <c r="A13" s="17"/>
      <c r="B13" s="17"/>
      <c r="C13" s="186" t="s">
        <v>12</v>
      </c>
      <c r="D13" s="187"/>
      <c r="E13" s="187"/>
      <c r="F13" s="187"/>
      <c r="G13" s="187"/>
      <c r="H13" s="188"/>
      <c r="I13" s="17"/>
      <c r="J13" s="17"/>
      <c r="K13" s="186" t="s">
        <v>15</v>
      </c>
      <c r="L13" s="187"/>
      <c r="M13" s="188"/>
      <c r="N13" s="17"/>
      <c r="O13" s="17"/>
      <c r="P13" s="17"/>
      <c r="Q13" s="186" t="s">
        <v>19</v>
      </c>
      <c r="R13" s="187"/>
      <c r="S13" s="188"/>
      <c r="T13" s="17"/>
      <c r="U13" s="17"/>
      <c r="V13" s="17"/>
      <c r="W13" s="186" t="s">
        <v>20</v>
      </c>
      <c r="X13" s="187"/>
      <c r="Y13" s="188"/>
      <c r="Z13" s="17"/>
      <c r="AA13" s="17"/>
      <c r="AB13" s="17"/>
      <c r="AC13" s="186" t="s">
        <v>21</v>
      </c>
      <c r="AD13" s="187"/>
      <c r="AE13" s="188"/>
      <c r="AF13" s="17"/>
      <c r="AG13" s="17"/>
      <c r="AH13" s="17"/>
      <c r="AI13" s="186" t="s">
        <v>22</v>
      </c>
      <c r="AJ13" s="187"/>
      <c r="AK13" s="188"/>
      <c r="AL13" s="17"/>
      <c r="AM13" s="2"/>
      <c r="AN13" s="2"/>
      <c r="AO13" s="189"/>
      <c r="AP13" s="189"/>
      <c r="AQ13" s="189"/>
      <c r="AR13" s="189"/>
      <c r="AS13" s="2"/>
      <c r="AT13" s="3"/>
      <c r="AU13" s="3"/>
      <c r="AV13" s="3"/>
      <c r="AW13" s="3"/>
      <c r="AX13" s="3"/>
    </row>
    <row r="14" spans="1:50" ht="15.75" thickBot="1">
      <c r="A14" s="17"/>
      <c r="B14" s="17"/>
      <c r="C14" s="18" t="s">
        <v>1</v>
      </c>
      <c r="D14" s="19" t="s">
        <v>2</v>
      </c>
      <c r="E14" s="19" t="s">
        <v>14</v>
      </c>
      <c r="F14" s="19" t="s">
        <v>3</v>
      </c>
      <c r="G14" s="19" t="s">
        <v>5</v>
      </c>
      <c r="H14" s="20" t="s">
        <v>4</v>
      </c>
      <c r="I14" s="17"/>
      <c r="J14" s="17"/>
      <c r="K14" s="35" t="s">
        <v>18</v>
      </c>
      <c r="L14" s="36" t="s">
        <v>17</v>
      </c>
      <c r="M14" s="37" t="s">
        <v>16</v>
      </c>
      <c r="N14" s="17"/>
      <c r="O14" s="17"/>
      <c r="P14" s="17"/>
      <c r="Q14" s="35" t="s">
        <v>18</v>
      </c>
      <c r="R14" s="36" t="s">
        <v>17</v>
      </c>
      <c r="S14" s="37" t="s">
        <v>16</v>
      </c>
      <c r="T14" s="17"/>
      <c r="U14" s="17"/>
      <c r="V14" s="17"/>
      <c r="W14" s="35" t="s">
        <v>18</v>
      </c>
      <c r="X14" s="36" t="s">
        <v>17</v>
      </c>
      <c r="Y14" s="37" t="s">
        <v>16</v>
      </c>
      <c r="Z14" s="17"/>
      <c r="AA14" s="17"/>
      <c r="AB14" s="17"/>
      <c r="AC14" s="35" t="s">
        <v>18</v>
      </c>
      <c r="AD14" s="36" t="s">
        <v>17</v>
      </c>
      <c r="AE14" s="37" t="s">
        <v>16</v>
      </c>
      <c r="AF14" s="17"/>
      <c r="AG14" s="17"/>
      <c r="AH14" s="17"/>
      <c r="AI14" s="35" t="s">
        <v>18</v>
      </c>
      <c r="AJ14" s="36" t="s">
        <v>17</v>
      </c>
      <c r="AK14" s="37" t="s">
        <v>16</v>
      </c>
      <c r="AL14" s="17"/>
      <c r="AM14" s="2"/>
      <c r="AN14" s="2"/>
      <c r="AO14" s="2"/>
      <c r="AP14" s="2"/>
      <c r="AQ14" s="2"/>
      <c r="AR14" s="2"/>
      <c r="AS14" s="2"/>
      <c r="AT14" s="3"/>
      <c r="AU14" s="3"/>
      <c r="AV14" s="3"/>
      <c r="AW14" s="3"/>
      <c r="AX14" s="3"/>
    </row>
    <row r="15" spans="1:50" ht="15">
      <c r="A15" s="17"/>
      <c r="B15" s="25">
        <v>100</v>
      </c>
      <c r="C15" s="26">
        <v>590</v>
      </c>
      <c r="D15" s="27">
        <v>300</v>
      </c>
      <c r="E15" s="27">
        <v>92</v>
      </c>
      <c r="F15" s="27">
        <v>28</v>
      </c>
      <c r="G15" s="27">
        <v>8.8</v>
      </c>
      <c r="H15" s="27"/>
      <c r="I15" s="17"/>
      <c r="J15" s="25" t="s">
        <v>1</v>
      </c>
      <c r="K15" s="38">
        <f>K6/$N$6*100</f>
        <v>79.86577181208054</v>
      </c>
      <c r="L15" s="39">
        <f>L6/$N$6*100</f>
        <v>79.19463087248322</v>
      </c>
      <c r="M15" s="39">
        <f>M6/$N$6*100</f>
        <v>92.61744966442953</v>
      </c>
      <c r="N15" s="17"/>
      <c r="O15" s="17"/>
      <c r="P15" s="25" t="s">
        <v>1</v>
      </c>
      <c r="Q15" s="38"/>
      <c r="R15" s="39"/>
      <c r="S15" s="39"/>
      <c r="T15" s="17"/>
      <c r="U15" s="17"/>
      <c r="V15" s="25" t="s">
        <v>1</v>
      </c>
      <c r="W15" s="38"/>
      <c r="X15" s="39"/>
      <c r="Y15" s="39"/>
      <c r="Z15" s="17"/>
      <c r="AA15" s="17"/>
      <c r="AB15" s="25" t="s">
        <v>1</v>
      </c>
      <c r="AC15" s="38"/>
      <c r="AD15" s="39"/>
      <c r="AE15" s="39"/>
      <c r="AF15" s="21"/>
      <c r="AG15" s="21"/>
      <c r="AH15" s="25" t="s">
        <v>1</v>
      </c>
      <c r="AI15" s="38"/>
      <c r="AJ15" s="39"/>
      <c r="AK15" s="39"/>
      <c r="AL15" s="17"/>
      <c r="AM15" s="2"/>
      <c r="AN15" s="3"/>
      <c r="AO15" s="2"/>
      <c r="AP15" s="2"/>
      <c r="AQ15" s="2"/>
      <c r="AR15" s="2"/>
      <c r="AS15" s="2"/>
      <c r="AT15" s="3"/>
      <c r="AU15" s="3"/>
      <c r="AV15" s="3"/>
      <c r="AW15" s="3"/>
      <c r="AX15" s="3"/>
    </row>
    <row r="16" spans="1:50" ht="15">
      <c r="A16" s="17"/>
      <c r="B16" s="30">
        <v>75</v>
      </c>
      <c r="C16" s="31">
        <v>770</v>
      </c>
      <c r="D16" s="29">
        <v>390</v>
      </c>
      <c r="E16" s="29">
        <v>120</v>
      </c>
      <c r="F16" s="29">
        <v>36</v>
      </c>
      <c r="G16" s="29">
        <v>11</v>
      </c>
      <c r="H16" s="29"/>
      <c r="I16" s="17"/>
      <c r="J16" s="30" t="s">
        <v>2</v>
      </c>
      <c r="K16" s="40">
        <f>K7/$N$7*100</f>
        <v>81.08108108108108</v>
      </c>
      <c r="L16" s="41">
        <f>L7/$N$7*100</f>
        <v>81.08108108108108</v>
      </c>
      <c r="M16" s="41">
        <f>M7/$N$7*100</f>
        <v>93.24324324324324</v>
      </c>
      <c r="N16" s="17"/>
      <c r="O16" s="42"/>
      <c r="P16" s="30" t="s">
        <v>2</v>
      </c>
      <c r="Q16" s="40">
        <f>Q7/$T$7*100</f>
        <v>82.29166666666666</v>
      </c>
      <c r="R16" s="41">
        <f>R7/$T$7*100</f>
        <v>81.25</v>
      </c>
      <c r="S16" s="41">
        <f>S7/$T$7*100</f>
        <v>92.70833333333334</v>
      </c>
      <c r="T16" s="42"/>
      <c r="U16" s="42"/>
      <c r="V16" s="30" t="s">
        <v>2</v>
      </c>
      <c r="W16" s="40">
        <f>W7/$Z$7*100</f>
        <v>83.55263157894737</v>
      </c>
      <c r="X16" s="41">
        <f>X7/$Z$7*100</f>
        <v>82.89473684210526</v>
      </c>
      <c r="Y16" s="41">
        <f>Y7/$Z$7*100</f>
        <v>93.42105263157895</v>
      </c>
      <c r="Z16" s="42"/>
      <c r="AA16" s="42"/>
      <c r="AB16" s="30" t="s">
        <v>2</v>
      </c>
      <c r="AC16" s="40"/>
      <c r="AD16" s="41"/>
      <c r="AE16" s="41"/>
      <c r="AF16" s="21"/>
      <c r="AG16" s="21"/>
      <c r="AH16" s="30" t="s">
        <v>2</v>
      </c>
      <c r="AI16" s="40"/>
      <c r="AJ16" s="41"/>
      <c r="AK16" s="41"/>
      <c r="AL16" s="42"/>
      <c r="AM16" s="2"/>
      <c r="AN16" s="3"/>
      <c r="AO16" s="2"/>
      <c r="AP16" s="2"/>
      <c r="AQ16" s="2"/>
      <c r="AR16" s="2"/>
      <c r="AS16" s="2"/>
      <c r="AT16" s="3"/>
      <c r="AU16" s="3"/>
      <c r="AV16" s="3"/>
      <c r="AW16" s="3"/>
      <c r="AX16" s="3"/>
    </row>
    <row r="17" spans="1:50" ht="15">
      <c r="A17" s="17"/>
      <c r="B17" s="30">
        <v>45</v>
      </c>
      <c r="C17" s="31"/>
      <c r="D17" s="29">
        <v>630</v>
      </c>
      <c r="E17" s="29">
        <v>190</v>
      </c>
      <c r="F17" s="29">
        <v>55.5</v>
      </c>
      <c r="G17" s="29">
        <v>16.5</v>
      </c>
      <c r="H17" s="29"/>
      <c r="I17" s="17"/>
      <c r="J17" s="30" t="s">
        <v>14</v>
      </c>
      <c r="K17" s="40">
        <f>K8/$N$8*100</f>
        <v>80.35714285714286</v>
      </c>
      <c r="L17" s="41">
        <f>L8/$N$8*100</f>
        <v>82.14285714285714</v>
      </c>
      <c r="M17" s="41">
        <f>M8/$N$8*100</f>
        <v>93.75</v>
      </c>
      <c r="N17" s="17"/>
      <c r="O17" s="42"/>
      <c r="P17" s="30" t="s">
        <v>14</v>
      </c>
      <c r="Q17" s="40">
        <f>Q8/$T$8*100</f>
        <v>86.20689655172413</v>
      </c>
      <c r="R17" s="41">
        <f>R8/$T$8*100</f>
        <v>82.75862068965517</v>
      </c>
      <c r="S17" s="41">
        <f>S8/$T$8*100</f>
        <v>93.10344827586206</v>
      </c>
      <c r="T17" s="42"/>
      <c r="U17" s="42"/>
      <c r="V17" s="30" t="s">
        <v>14</v>
      </c>
      <c r="W17" s="40">
        <f>W8/$Z$8*100</f>
        <v>84.44444444444444</v>
      </c>
      <c r="X17" s="41">
        <f>X8/$Z$8*100</f>
        <v>84.44444444444444</v>
      </c>
      <c r="Y17" s="41">
        <f>Y8/$Z$8*100</f>
        <v>95.55555555555556</v>
      </c>
      <c r="Z17" s="42"/>
      <c r="AA17" s="42"/>
      <c r="AB17" s="30" t="s">
        <v>14</v>
      </c>
      <c r="AC17" s="40">
        <f>AC8/$AF$8*100</f>
        <v>85.77405857740585</v>
      </c>
      <c r="AD17" s="41">
        <f>AD8/$AF$8*100</f>
        <v>85.77405857740585</v>
      </c>
      <c r="AE17" s="41">
        <f>AE8/$AF$8*100</f>
        <v>93.09623430962343</v>
      </c>
      <c r="AF17" s="21"/>
      <c r="AG17" s="21"/>
      <c r="AH17" s="30" t="s">
        <v>14</v>
      </c>
      <c r="AI17" s="40"/>
      <c r="AJ17" s="41"/>
      <c r="AK17" s="41"/>
      <c r="AL17" s="42"/>
      <c r="AM17" s="2"/>
      <c r="AN17" s="3"/>
      <c r="AO17" s="2"/>
      <c r="AP17" s="2"/>
      <c r="AQ17" s="2"/>
      <c r="AR17" s="2"/>
      <c r="AS17" s="2"/>
      <c r="AT17" s="3"/>
      <c r="AU17" s="3"/>
      <c r="AV17" s="3"/>
      <c r="AW17" s="3"/>
      <c r="AX17" s="3"/>
    </row>
    <row r="18" spans="1:50" ht="15">
      <c r="A18" s="17"/>
      <c r="B18" s="30">
        <v>20</v>
      </c>
      <c r="C18" s="31"/>
      <c r="D18" s="29"/>
      <c r="E18" s="29">
        <v>410</v>
      </c>
      <c r="F18" s="29">
        <v>120</v>
      </c>
      <c r="G18" s="29">
        <v>34</v>
      </c>
      <c r="H18" s="29">
        <v>6.6</v>
      </c>
      <c r="I18" s="17"/>
      <c r="J18" s="30" t="s">
        <v>3</v>
      </c>
      <c r="K18" s="40">
        <f>K9/$N$9*100</f>
        <v>80.59701492537313</v>
      </c>
      <c r="L18" s="41">
        <f>L9/$N$9*100</f>
        <v>83.5820895522388</v>
      </c>
      <c r="M18" s="41">
        <f>M9/$N$9*100</f>
        <v>95.52238805970148</v>
      </c>
      <c r="N18" s="17"/>
      <c r="O18" s="42"/>
      <c r="P18" s="30" t="s">
        <v>3</v>
      </c>
      <c r="Q18" s="40">
        <f>Q9/$T$9*100</f>
        <v>84.90566037735849</v>
      </c>
      <c r="R18" s="41">
        <f>R9/$T$9*100</f>
        <v>84.90566037735849</v>
      </c>
      <c r="S18" s="41">
        <f>S9/$T$9*100</f>
        <v>95.51886792452831</v>
      </c>
      <c r="T18" s="42"/>
      <c r="U18" s="42"/>
      <c r="V18" s="30" t="s">
        <v>3</v>
      </c>
      <c r="W18" s="40">
        <f>W9/$Z$9*100</f>
        <v>87.6923076923077</v>
      </c>
      <c r="X18" s="41">
        <f>X9/$Z$9*100</f>
        <v>86.15384615384616</v>
      </c>
      <c r="Y18" s="41">
        <f>Y9/$Z$9*100</f>
        <v>96.92307692307692</v>
      </c>
      <c r="Z18" s="42"/>
      <c r="AA18" s="42"/>
      <c r="AB18" s="30" t="s">
        <v>3</v>
      </c>
      <c r="AC18" s="40">
        <f>AC9/$AF$9*100</f>
        <v>88.88888888888889</v>
      </c>
      <c r="AD18" s="41">
        <f>AD9/$AF$9*100</f>
        <v>88.88888888888889</v>
      </c>
      <c r="AE18" s="41">
        <f>AE9/$AF$9*100</f>
        <v>96.29629629629629</v>
      </c>
      <c r="AF18" s="42"/>
      <c r="AG18" s="42"/>
      <c r="AH18" s="30" t="s">
        <v>3</v>
      </c>
      <c r="AI18" s="40">
        <f>AI9/$AL$9*100</f>
        <v>88.46153846153845</v>
      </c>
      <c r="AJ18" s="41">
        <f>AJ9/$AL$9*100</f>
        <v>86.53846153846155</v>
      </c>
      <c r="AK18" s="41">
        <f>AK9/$AL$9*100</f>
        <v>92.3076923076923</v>
      </c>
      <c r="AL18" s="42"/>
      <c r="AM18" s="2"/>
      <c r="AN18" s="3"/>
      <c r="AO18" s="2"/>
      <c r="AP18" s="2"/>
      <c r="AQ18" s="2"/>
      <c r="AR18" s="2"/>
      <c r="AS18" s="2"/>
      <c r="AT18" s="3"/>
      <c r="AU18" s="3"/>
      <c r="AV18" s="3"/>
      <c r="AW18" s="3"/>
      <c r="AX18" s="3"/>
    </row>
    <row r="19" spans="1:50" ht="16.5" thickBot="1">
      <c r="A19" s="17"/>
      <c r="B19" s="33">
        <v>10</v>
      </c>
      <c r="C19" s="31"/>
      <c r="D19" s="29"/>
      <c r="E19" s="29"/>
      <c r="F19" s="29">
        <v>225</v>
      </c>
      <c r="G19" s="29">
        <v>63.5</v>
      </c>
      <c r="H19" s="29">
        <v>11.8</v>
      </c>
      <c r="I19" s="17"/>
      <c r="J19" s="30" t="s">
        <v>5</v>
      </c>
      <c r="K19" s="40">
        <f>K10/$N$10*100</f>
        <v>81.63265306122447</v>
      </c>
      <c r="L19" s="41">
        <f>L10/$N$10*100</f>
        <v>89.79591836734694</v>
      </c>
      <c r="M19" s="41">
        <f>M10/$N$10*100</f>
        <v>96.93877551020408</v>
      </c>
      <c r="N19" s="17"/>
      <c r="O19" s="42"/>
      <c r="P19" s="30" t="s">
        <v>5</v>
      </c>
      <c r="Q19" s="40">
        <f>Q10/$T$10*100</f>
        <v>86.4</v>
      </c>
      <c r="R19" s="41">
        <f>R10/$T$10*100</f>
        <v>88</v>
      </c>
      <c r="S19" s="41">
        <f>S10/$T$10*100</f>
        <v>98.4</v>
      </c>
      <c r="T19" s="42"/>
      <c r="U19" s="42"/>
      <c r="V19" s="30" t="s">
        <v>5</v>
      </c>
      <c r="W19" s="40">
        <f>W10/$Z$10*100</f>
        <v>90.42553191489361</v>
      </c>
      <c r="X19" s="41">
        <f>X10/$Z$10*100</f>
        <v>87.7659574468085</v>
      </c>
      <c r="Y19" s="41">
        <f>Y10/$Z$10*100</f>
        <v>98.40425531914893</v>
      </c>
      <c r="Z19" s="42"/>
      <c r="AA19" s="42"/>
      <c r="AB19" s="30" t="s">
        <v>5</v>
      </c>
      <c r="AC19" s="40">
        <f>AC10/$AF$10*100</f>
        <v>91.96891191709844</v>
      </c>
      <c r="AD19" s="41">
        <f>AD10/$AF$10*100</f>
        <v>88.08290155440415</v>
      </c>
      <c r="AE19" s="41">
        <f>AE10/$AF$10*100</f>
        <v>97.15025906735751</v>
      </c>
      <c r="AF19" s="42"/>
      <c r="AG19" s="42"/>
      <c r="AH19" s="30" t="s">
        <v>5</v>
      </c>
      <c r="AI19" s="40">
        <f>AI10/$AL$10*100</f>
        <v>90.55555555555556</v>
      </c>
      <c r="AJ19" s="41">
        <f>AJ10/$AL$10*100</f>
        <v>88.19444444444444</v>
      </c>
      <c r="AK19" s="41">
        <f>AK10/$AL$10*100</f>
        <v>95.83333333333334</v>
      </c>
      <c r="AL19" s="42"/>
      <c r="AM19" s="2"/>
      <c r="AN19" s="3"/>
      <c r="AO19" s="2"/>
      <c r="AP19" s="2"/>
      <c r="AQ19" s="2"/>
      <c r="AR19" s="2"/>
      <c r="AS19" s="2"/>
      <c r="AT19" s="3"/>
      <c r="AU19" s="3"/>
      <c r="AV19" s="3"/>
      <c r="AW19" s="3"/>
      <c r="AX19" s="3"/>
    </row>
    <row r="20" spans="1:50" ht="16.5" thickBot="1">
      <c r="A20" s="17"/>
      <c r="B20" s="17"/>
      <c r="C20" s="17"/>
      <c r="D20" s="17"/>
      <c r="E20" s="17"/>
      <c r="F20" s="17"/>
      <c r="G20" s="17"/>
      <c r="H20" s="17"/>
      <c r="I20" s="17"/>
      <c r="J20" s="33" t="s">
        <v>4</v>
      </c>
      <c r="K20" s="31"/>
      <c r="L20" s="29"/>
      <c r="M20" s="29"/>
      <c r="N20" s="17"/>
      <c r="O20" s="42"/>
      <c r="P20" s="33" t="s">
        <v>4</v>
      </c>
      <c r="Q20" s="31"/>
      <c r="R20" s="29"/>
      <c r="S20" s="29"/>
      <c r="T20" s="42"/>
      <c r="U20" s="42"/>
      <c r="V20" s="33" t="s">
        <v>4</v>
      </c>
      <c r="W20" s="31"/>
      <c r="X20" s="29"/>
      <c r="Y20" s="29"/>
      <c r="Z20" s="42"/>
      <c r="AA20" s="42"/>
      <c r="AB20" s="33" t="s">
        <v>4</v>
      </c>
      <c r="AC20" s="40">
        <f>AC11/$AF$11*100</f>
        <v>93.33333333333333</v>
      </c>
      <c r="AD20" s="41">
        <f>AD11/$AF$11*100</f>
        <v>88</v>
      </c>
      <c r="AE20" s="41">
        <f>AE11/$AF$11*100</f>
        <v>98.66666666666667</v>
      </c>
      <c r="AF20" s="42"/>
      <c r="AG20" s="42"/>
      <c r="AH20" s="33" t="s">
        <v>4</v>
      </c>
      <c r="AI20" s="40">
        <f>AI11/$AL$11*100</f>
        <v>93.98496240601504</v>
      </c>
      <c r="AJ20" s="41">
        <f>AJ11/$AL$11*100</f>
        <v>88.7218045112782</v>
      </c>
      <c r="AK20" s="41">
        <f>AK11/$AL$11*100</f>
        <v>99.24812030075188</v>
      </c>
      <c r="AL20" s="4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6.5" thickBot="1">
      <c r="A21" s="17"/>
      <c r="B21" s="17"/>
      <c r="C21" s="17"/>
      <c r="D21" s="17"/>
      <c r="E21" s="17"/>
      <c r="F21" s="17"/>
      <c r="G21" s="17"/>
      <c r="H21" s="17"/>
      <c r="I21" s="17"/>
      <c r="J21" s="21"/>
      <c r="K21" s="17"/>
      <c r="L21" s="17"/>
      <c r="M21" s="17"/>
      <c r="N21" s="17"/>
      <c r="O21" s="17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38" ht="16.5" thickBot="1">
      <c r="A22" s="17"/>
      <c r="B22" s="17"/>
      <c r="C22" s="186" t="s">
        <v>11</v>
      </c>
      <c r="D22" s="187"/>
      <c r="E22" s="187"/>
      <c r="F22" s="187"/>
      <c r="G22" s="187"/>
      <c r="H22" s="188"/>
      <c r="I22" s="17"/>
      <c r="J22" s="17"/>
      <c r="K22" s="186" t="s">
        <v>23</v>
      </c>
      <c r="L22" s="187"/>
      <c r="M22" s="188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</row>
    <row r="23" spans="1:38" ht="16.5" thickBot="1">
      <c r="A23" s="17"/>
      <c r="B23" s="17"/>
      <c r="C23" s="18" t="s">
        <v>1</v>
      </c>
      <c r="D23" s="19" t="s">
        <v>2</v>
      </c>
      <c r="E23" s="19" t="s">
        <v>14</v>
      </c>
      <c r="F23" s="19" t="s">
        <v>3</v>
      </c>
      <c r="G23" s="19" t="s">
        <v>5</v>
      </c>
      <c r="H23" s="20" t="s">
        <v>4</v>
      </c>
      <c r="I23" s="17"/>
      <c r="J23" s="17"/>
      <c r="K23" s="35" t="s">
        <v>18</v>
      </c>
      <c r="L23" s="36" t="s">
        <v>17</v>
      </c>
      <c r="M23" s="37" t="s">
        <v>16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</row>
    <row r="24" spans="1:38" ht="15.75">
      <c r="A24" s="17"/>
      <c r="B24" s="25">
        <v>100</v>
      </c>
      <c r="C24" s="26">
        <v>690</v>
      </c>
      <c r="D24" s="27">
        <v>345</v>
      </c>
      <c r="E24" s="27">
        <v>105</v>
      </c>
      <c r="F24" s="27">
        <v>32</v>
      </c>
      <c r="G24" s="27">
        <v>9.5</v>
      </c>
      <c r="H24" s="27"/>
      <c r="I24" s="17"/>
      <c r="J24" s="25">
        <v>30</v>
      </c>
      <c r="K24" s="38">
        <f>(K15+Q15+W15+AC15+AI15)</f>
        <v>79.86577181208054</v>
      </c>
      <c r="L24" s="39">
        <f>(L15+R15+X15+AD15+AJ15)</f>
        <v>79.19463087248322</v>
      </c>
      <c r="M24" s="39">
        <f>(M15+S15+Y15+AE15+AK15)</f>
        <v>92.61744966442953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</row>
    <row r="25" spans="1:50" ht="15.75">
      <c r="A25" s="17"/>
      <c r="B25" s="30">
        <v>75</v>
      </c>
      <c r="C25" s="31"/>
      <c r="D25" s="29">
        <v>445</v>
      </c>
      <c r="E25" s="29">
        <v>135</v>
      </c>
      <c r="F25" s="29">
        <v>40.5</v>
      </c>
      <c r="G25" s="29">
        <v>12.3</v>
      </c>
      <c r="H25" s="29"/>
      <c r="I25" s="17"/>
      <c r="J25" s="30">
        <v>20</v>
      </c>
      <c r="K25" s="40">
        <f>(K16+Q16+W16+AC16+AI16)/3</f>
        <v>82.30845977556503</v>
      </c>
      <c r="L25" s="41">
        <f>(L16+R16+X16+AD16+AJ16)/3</f>
        <v>81.74193930772879</v>
      </c>
      <c r="M25" s="41">
        <f>(M16+S16+Y16+AE16+AK16)/3</f>
        <v>93.12420973605185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R25" s="3"/>
      <c r="AX25" s="3"/>
    </row>
    <row r="26" spans="1:50" ht="15.75">
      <c r="A26" s="17"/>
      <c r="B26" s="30">
        <v>45</v>
      </c>
      <c r="C26" s="31"/>
      <c r="D26" s="29">
        <v>710</v>
      </c>
      <c r="E26" s="29">
        <v>215</v>
      </c>
      <c r="F26" s="29">
        <v>63</v>
      </c>
      <c r="G26" s="29">
        <v>18.5</v>
      </c>
      <c r="H26" s="29"/>
      <c r="I26" s="17"/>
      <c r="J26" s="30">
        <v>10</v>
      </c>
      <c r="K26" s="40">
        <f>(K17+Q17+W17+AC17+AI17)/4</f>
        <v>84.19563560767932</v>
      </c>
      <c r="L26" s="41">
        <f>(L17+R17+X17+AD17+AJ17)/4</f>
        <v>83.77999521359065</v>
      </c>
      <c r="M26" s="41">
        <f>(M17+S17+Y17+AE17+AK17)/4</f>
        <v>93.87630953526026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R26" s="3"/>
      <c r="AX26" s="3"/>
    </row>
    <row r="27" spans="1:50" ht="15.75">
      <c r="A27" s="17"/>
      <c r="B27" s="30">
        <v>20</v>
      </c>
      <c r="C27" s="31"/>
      <c r="D27" s="29"/>
      <c r="E27" s="29">
        <v>445</v>
      </c>
      <c r="F27" s="29">
        <v>130</v>
      </c>
      <c r="G27" s="29">
        <v>37.5</v>
      </c>
      <c r="H27" s="29">
        <v>7.4</v>
      </c>
      <c r="I27" s="17"/>
      <c r="J27" s="30">
        <v>5</v>
      </c>
      <c r="K27" s="40">
        <f aca="true" t="shared" si="0" ref="K27:M28">(K18+Q18+W18+AC18+AI18)/5</f>
        <v>86.10908206909332</v>
      </c>
      <c r="L27" s="41">
        <f t="shared" si="0"/>
        <v>86.01378930215877</v>
      </c>
      <c r="M27" s="41">
        <f t="shared" si="0"/>
        <v>95.31366430225907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R27" s="3"/>
      <c r="AX27" s="3"/>
    </row>
    <row r="28" spans="1:50" ht="16.5" thickBot="1">
      <c r="A28" s="17"/>
      <c r="B28" s="33">
        <v>10</v>
      </c>
      <c r="C28" s="31"/>
      <c r="D28" s="29"/>
      <c r="E28" s="29"/>
      <c r="F28" s="29">
        <v>240</v>
      </c>
      <c r="G28" s="29">
        <v>69</v>
      </c>
      <c r="H28" s="29">
        <v>13.2</v>
      </c>
      <c r="I28" s="17"/>
      <c r="J28" s="30">
        <v>2.5</v>
      </c>
      <c r="K28" s="40">
        <f t="shared" si="0"/>
        <v>88.19653048975442</v>
      </c>
      <c r="L28" s="41">
        <f t="shared" si="0"/>
        <v>88.3678443626008</v>
      </c>
      <c r="M28" s="41">
        <f t="shared" si="0"/>
        <v>97.34532464600878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R28" s="3"/>
      <c r="AX28" s="3"/>
    </row>
    <row r="29" spans="1:50" ht="16.5" thickBot="1">
      <c r="A29" s="17"/>
      <c r="B29" s="17"/>
      <c r="C29" s="17"/>
      <c r="D29" s="17"/>
      <c r="E29" s="17"/>
      <c r="F29" s="17"/>
      <c r="G29" s="17"/>
      <c r="H29" s="17"/>
      <c r="I29" s="17"/>
      <c r="J29" s="33">
        <v>1</v>
      </c>
      <c r="K29" s="40">
        <f>(K20+Q20+W20+AC20+AI20)/2</f>
        <v>93.65914786967419</v>
      </c>
      <c r="L29" s="41">
        <f>(L20+R20+X20+AD20+AJ20)/2</f>
        <v>88.3609022556391</v>
      </c>
      <c r="M29" s="41">
        <f>(M20+S20+Y20+AE20+AK20)/2</f>
        <v>98.95739348370927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R29" s="3"/>
      <c r="AX29" s="3"/>
    </row>
    <row r="30" spans="1:50" ht="16.5" thickBo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42"/>
      <c r="O30" s="42"/>
      <c r="P30" s="17"/>
      <c r="Q30" s="17"/>
      <c r="R30" s="17"/>
      <c r="S30" s="17"/>
      <c r="T30" s="42"/>
      <c r="U30" s="42"/>
      <c r="V30" s="42"/>
      <c r="W30" s="42"/>
      <c r="X30" s="42"/>
      <c r="Y30" s="42"/>
      <c r="Z30" s="42"/>
      <c r="AA30" s="42"/>
      <c r="AB30" s="21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R30" s="3"/>
      <c r="AT30" s="3"/>
      <c r="AU30" s="3"/>
      <c r="AV30" s="3"/>
      <c r="AW30" s="3"/>
      <c r="AX30" s="3"/>
    </row>
    <row r="31" spans="1:50" ht="16.5" thickBot="1">
      <c r="A31" s="17"/>
      <c r="B31" s="17"/>
      <c r="C31" s="186" t="s">
        <v>13</v>
      </c>
      <c r="D31" s="187"/>
      <c r="E31" s="187"/>
      <c r="F31" s="187"/>
      <c r="G31" s="187"/>
      <c r="H31" s="188"/>
      <c r="I31" s="17"/>
      <c r="J31" s="17"/>
      <c r="K31" s="190" t="s">
        <v>72</v>
      </c>
      <c r="L31" s="191"/>
      <c r="M31" s="192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42"/>
      <c r="AN31" s="3"/>
      <c r="AO31" s="3"/>
      <c r="AP31" s="3"/>
      <c r="AQ31" s="3"/>
      <c r="AR31" s="3"/>
      <c r="AT31" s="3"/>
      <c r="AU31" s="3"/>
      <c r="AV31" s="3"/>
      <c r="AW31" s="3"/>
      <c r="AX31" s="3"/>
    </row>
    <row r="32" spans="1:50" ht="16.5" thickBot="1">
      <c r="A32" s="17"/>
      <c r="B32" s="17"/>
      <c r="C32" s="18" t="s">
        <v>1</v>
      </c>
      <c r="D32" s="19" t="s">
        <v>2</v>
      </c>
      <c r="E32" s="19" t="s">
        <v>14</v>
      </c>
      <c r="F32" s="19" t="s">
        <v>3</v>
      </c>
      <c r="G32" s="19" t="s">
        <v>5</v>
      </c>
      <c r="H32" s="20" t="s">
        <v>4</v>
      </c>
      <c r="I32" s="17"/>
      <c r="J32" s="17"/>
      <c r="K32" s="35" t="s">
        <v>26</v>
      </c>
      <c r="L32" s="36" t="s">
        <v>25</v>
      </c>
      <c r="M32" s="37" t="s">
        <v>24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42"/>
      <c r="AN32" s="3"/>
      <c r="AO32" s="3"/>
      <c r="AP32" s="3"/>
      <c r="AQ32" s="3"/>
      <c r="AR32" s="3"/>
      <c r="AT32" s="3"/>
      <c r="AU32" s="3"/>
      <c r="AV32" s="3"/>
      <c r="AW32" s="3"/>
      <c r="AX32" s="3"/>
    </row>
    <row r="33" spans="1:50" ht="15.75">
      <c r="A33" s="17"/>
      <c r="B33" s="25">
        <v>100</v>
      </c>
      <c r="C33" s="26">
        <v>745</v>
      </c>
      <c r="D33" s="27">
        <v>370</v>
      </c>
      <c r="E33" s="27">
        <v>112</v>
      </c>
      <c r="F33" s="27">
        <v>33.5</v>
      </c>
      <c r="G33" s="27">
        <v>9.8</v>
      </c>
      <c r="H33" s="27"/>
      <c r="I33" s="17"/>
      <c r="J33" s="25">
        <f aca="true" t="shared" si="1" ref="J33:J38">J24</f>
        <v>30</v>
      </c>
      <c r="K33" s="16">
        <f>K24/100</f>
        <v>0.7986577181208054</v>
      </c>
      <c r="L33" s="16">
        <f>L24/100</f>
        <v>0.7919463087248322</v>
      </c>
      <c r="M33" s="16">
        <f>M24/100</f>
        <v>0.9261744966442953</v>
      </c>
      <c r="N33" s="42"/>
      <c r="O33" s="42"/>
      <c r="P33" s="17"/>
      <c r="Q33" s="21"/>
      <c r="R33" s="17"/>
      <c r="S33" s="17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N33" s="3"/>
      <c r="AO33" s="3"/>
      <c r="AP33" s="3"/>
      <c r="AQ33" s="3"/>
      <c r="AR33" s="3"/>
      <c r="AT33" s="3"/>
      <c r="AU33" s="3"/>
      <c r="AV33" s="3"/>
      <c r="AW33" s="3"/>
      <c r="AX33" s="3"/>
    </row>
    <row r="34" spans="1:50" ht="15.75">
      <c r="A34" s="17"/>
      <c r="B34" s="30">
        <v>75</v>
      </c>
      <c r="C34" s="31"/>
      <c r="D34" s="29">
        <v>480</v>
      </c>
      <c r="E34" s="29">
        <v>145</v>
      </c>
      <c r="F34" s="29">
        <v>42.4</v>
      </c>
      <c r="G34" s="29">
        <v>12.5</v>
      </c>
      <c r="H34" s="29"/>
      <c r="I34" s="17"/>
      <c r="J34" s="30">
        <f t="shared" si="1"/>
        <v>20</v>
      </c>
      <c r="K34" s="16">
        <f aca="true" t="shared" si="2" ref="K34:M38">K25/100</f>
        <v>0.8230845977556502</v>
      </c>
      <c r="L34" s="16">
        <f t="shared" si="2"/>
        <v>0.8174193930772878</v>
      </c>
      <c r="M34" s="16">
        <f t="shared" si="2"/>
        <v>0.9312420973605186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42"/>
      <c r="AN34" s="3"/>
      <c r="AO34" s="3"/>
      <c r="AP34" s="3"/>
      <c r="AQ34" s="3"/>
      <c r="AR34" s="3"/>
      <c r="AT34" s="3"/>
      <c r="AU34" s="3"/>
      <c r="AV34" s="3"/>
      <c r="AW34" s="3"/>
      <c r="AX34" s="3"/>
    </row>
    <row r="35" spans="1:50" ht="15.75">
      <c r="A35" s="17"/>
      <c r="B35" s="30">
        <v>45</v>
      </c>
      <c r="C35" s="31"/>
      <c r="D35" s="29">
        <v>760</v>
      </c>
      <c r="E35" s="29">
        <v>225</v>
      </c>
      <c r="F35" s="29">
        <v>65</v>
      </c>
      <c r="G35" s="29">
        <v>18.8</v>
      </c>
      <c r="H35" s="29"/>
      <c r="I35" s="17"/>
      <c r="J35" s="30">
        <f t="shared" si="1"/>
        <v>10</v>
      </c>
      <c r="K35" s="16">
        <f t="shared" si="2"/>
        <v>0.8419563560767932</v>
      </c>
      <c r="L35" s="16">
        <f t="shared" si="2"/>
        <v>0.8377999521359065</v>
      </c>
      <c r="M35" s="16">
        <f t="shared" si="2"/>
        <v>0.9387630953526026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42"/>
      <c r="AN35" s="3"/>
      <c r="AO35" s="3"/>
      <c r="AP35" s="3"/>
      <c r="AQ35" s="3"/>
      <c r="AR35" s="3"/>
      <c r="AT35" s="3"/>
      <c r="AU35" s="3"/>
      <c r="AV35" s="3"/>
      <c r="AW35" s="3"/>
      <c r="AX35" s="3"/>
    </row>
    <row r="36" spans="1:50" ht="15.75">
      <c r="A36" s="17"/>
      <c r="B36" s="30">
        <v>20</v>
      </c>
      <c r="C36" s="31"/>
      <c r="D36" s="29"/>
      <c r="E36" s="29">
        <v>478</v>
      </c>
      <c r="F36" s="29">
        <v>135</v>
      </c>
      <c r="G36" s="29">
        <v>38.6</v>
      </c>
      <c r="H36" s="29">
        <v>7.5</v>
      </c>
      <c r="I36" s="17"/>
      <c r="J36" s="30">
        <f t="shared" si="1"/>
        <v>5</v>
      </c>
      <c r="K36" s="16">
        <f t="shared" si="2"/>
        <v>0.8610908206909332</v>
      </c>
      <c r="L36" s="16">
        <f t="shared" si="2"/>
        <v>0.8601378930215877</v>
      </c>
      <c r="M36" s="16">
        <f t="shared" si="2"/>
        <v>0.9531366430225907</v>
      </c>
      <c r="N36" s="42"/>
      <c r="O36" s="42"/>
      <c r="P36" s="17"/>
      <c r="Q36" s="17"/>
      <c r="R36" s="17"/>
      <c r="S36" s="17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N36" s="3"/>
      <c r="AO36" s="3"/>
      <c r="AP36" s="3"/>
      <c r="AQ36" s="3"/>
      <c r="AR36" s="3"/>
      <c r="AT36" s="3"/>
      <c r="AU36" s="3"/>
      <c r="AV36" s="3"/>
      <c r="AW36" s="3"/>
      <c r="AX36" s="3"/>
    </row>
    <row r="37" spans="1:50" ht="16.5" thickBot="1">
      <c r="A37" s="17"/>
      <c r="B37" s="33">
        <v>10</v>
      </c>
      <c r="C37" s="31"/>
      <c r="D37" s="29"/>
      <c r="E37" s="29"/>
      <c r="F37" s="29">
        <v>260</v>
      </c>
      <c r="G37" s="29">
        <v>72</v>
      </c>
      <c r="H37" s="29">
        <v>13.3</v>
      </c>
      <c r="I37" s="17"/>
      <c r="J37" s="30">
        <f t="shared" si="1"/>
        <v>2.5</v>
      </c>
      <c r="K37" s="16">
        <f t="shared" si="2"/>
        <v>0.8819653048975442</v>
      </c>
      <c r="L37" s="16">
        <f t="shared" si="2"/>
        <v>0.8836784436260081</v>
      </c>
      <c r="M37" s="16">
        <f t="shared" si="2"/>
        <v>0.9734532464600878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42"/>
      <c r="AN37" s="3"/>
      <c r="AO37" s="3"/>
      <c r="AP37" s="3"/>
      <c r="AQ37" s="3"/>
      <c r="AR37" s="3"/>
      <c r="AT37" s="3"/>
      <c r="AU37" s="3"/>
      <c r="AV37" s="3"/>
      <c r="AW37" s="3"/>
      <c r="AX37" s="3"/>
    </row>
    <row r="38" spans="1:50" ht="16.5" thickBot="1">
      <c r="A38" s="17"/>
      <c r="B38" s="17"/>
      <c r="C38" s="17"/>
      <c r="D38" s="17"/>
      <c r="E38" s="17"/>
      <c r="F38" s="17"/>
      <c r="G38" s="17"/>
      <c r="H38" s="17"/>
      <c r="I38" s="17"/>
      <c r="J38" s="43">
        <f t="shared" si="1"/>
        <v>1</v>
      </c>
      <c r="K38" s="16">
        <f t="shared" si="2"/>
        <v>0.9365914786967419</v>
      </c>
      <c r="L38" s="16">
        <f t="shared" si="2"/>
        <v>0.8836090225563911</v>
      </c>
      <c r="M38" s="16">
        <f t="shared" si="2"/>
        <v>0.9895739348370927</v>
      </c>
      <c r="N38" s="42"/>
      <c r="O38" s="42"/>
      <c r="P38" s="42"/>
      <c r="Q38" s="42"/>
      <c r="R38" s="17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N38" s="3"/>
      <c r="AO38" s="3"/>
      <c r="AP38" s="3"/>
      <c r="AQ38" s="3"/>
      <c r="AR38" s="3"/>
      <c r="AT38" s="3"/>
      <c r="AU38" s="3"/>
      <c r="AV38" s="3"/>
      <c r="AW38" s="3"/>
      <c r="AX38" s="3"/>
    </row>
    <row r="39" spans="10:50" ht="15.75">
      <c r="J39" s="3"/>
      <c r="K39" s="3"/>
      <c r="L39" s="3"/>
      <c r="M39" s="3"/>
      <c r="N39" s="3"/>
      <c r="O39" s="3"/>
      <c r="P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E39" s="3"/>
      <c r="AF39" s="3"/>
      <c r="AG39" s="3"/>
      <c r="AH39" s="3"/>
      <c r="AI39" s="3"/>
      <c r="AJ39" s="3"/>
      <c r="AK39" s="3"/>
      <c r="AL39" s="3"/>
      <c r="AN39" s="3"/>
      <c r="AO39" s="3"/>
      <c r="AP39" s="3"/>
      <c r="AQ39" s="3"/>
      <c r="AR39" s="3"/>
      <c r="AT39" s="3"/>
      <c r="AU39" s="3"/>
      <c r="AV39" s="3"/>
      <c r="AW39" s="3"/>
      <c r="AX39" s="3"/>
    </row>
    <row r="41" spans="10:50" ht="15.75"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N41" s="3"/>
      <c r="AO41" s="3"/>
      <c r="AP41" s="3"/>
      <c r="AQ41" s="3"/>
      <c r="AR41" s="3"/>
      <c r="AT41" s="3"/>
      <c r="AU41" s="3"/>
      <c r="AV41" s="3"/>
      <c r="AW41" s="3"/>
      <c r="AX41" s="3"/>
    </row>
    <row r="42" spans="10:50" ht="15.75"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N42" s="3"/>
      <c r="AO42" s="3"/>
      <c r="AP42" s="3"/>
      <c r="AQ42" s="3"/>
      <c r="AR42" s="3"/>
      <c r="AT42" s="3"/>
      <c r="AU42" s="3"/>
      <c r="AV42" s="3"/>
      <c r="AW42" s="3"/>
      <c r="AX42" s="3"/>
    </row>
    <row r="43" spans="10:50" ht="15.75"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N43" s="3"/>
      <c r="AO43" s="3"/>
      <c r="AP43" s="3"/>
      <c r="AQ43" s="3"/>
      <c r="AR43" s="3"/>
      <c r="AT43" s="3"/>
      <c r="AU43" s="3"/>
      <c r="AV43" s="3"/>
      <c r="AW43" s="3"/>
      <c r="AX43" s="3"/>
    </row>
    <row r="44" spans="10:50" ht="15.75"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N44" s="3"/>
      <c r="AO44" s="3"/>
      <c r="AP44" s="3"/>
      <c r="AQ44" s="3"/>
      <c r="AR44" s="3"/>
      <c r="AT44" s="3"/>
      <c r="AU44" s="3"/>
      <c r="AV44" s="3"/>
      <c r="AW44" s="3"/>
      <c r="AX44" s="3"/>
    </row>
    <row r="45" spans="10:50" ht="15.75">
      <c r="J45" s="3"/>
      <c r="K45" s="3"/>
      <c r="L45" s="3"/>
      <c r="M45" s="3"/>
      <c r="N45" s="3"/>
      <c r="O45" s="3"/>
      <c r="P45" s="3"/>
      <c r="Q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N45" s="3"/>
      <c r="AO45" s="3"/>
      <c r="AP45" s="3"/>
      <c r="AQ45" s="3"/>
      <c r="AR45" s="3"/>
      <c r="AT45" s="3"/>
      <c r="AU45" s="3"/>
      <c r="AV45" s="3"/>
      <c r="AW45" s="3"/>
      <c r="AX45" s="3"/>
    </row>
    <row r="46" spans="10:50" ht="15.75">
      <c r="J46" s="3"/>
      <c r="K46" s="3"/>
      <c r="L46" s="3"/>
      <c r="M46" s="3"/>
      <c r="N46" s="3"/>
      <c r="O46" s="3"/>
      <c r="P46" s="3"/>
      <c r="Q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N46" s="3"/>
      <c r="AO46" s="3"/>
      <c r="AP46" s="3"/>
      <c r="AQ46" s="3"/>
      <c r="AR46" s="3"/>
      <c r="AT46" s="3"/>
      <c r="AU46" s="3"/>
      <c r="AV46" s="3"/>
      <c r="AW46" s="3"/>
      <c r="AX46" s="3"/>
    </row>
    <row r="47" spans="10:50" ht="15.75">
      <c r="J47" s="3"/>
      <c r="K47" s="3"/>
      <c r="L47" s="3"/>
      <c r="M47" s="3"/>
      <c r="N47" s="3"/>
      <c r="O47" s="3"/>
      <c r="P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N47" s="3"/>
      <c r="AO47" s="3"/>
      <c r="AP47" s="3"/>
      <c r="AQ47" s="3"/>
      <c r="AR47" s="3"/>
      <c r="AT47" s="3"/>
      <c r="AU47" s="3"/>
      <c r="AV47" s="3"/>
      <c r="AW47" s="3"/>
      <c r="AX47" s="3"/>
    </row>
    <row r="52" spans="2:8" ht="15.75">
      <c r="B52" s="3"/>
      <c r="C52" s="3"/>
      <c r="D52" s="3"/>
      <c r="E52" s="3"/>
      <c r="F52" s="3"/>
      <c r="G52" s="3"/>
      <c r="H52" s="3"/>
    </row>
    <row r="53" spans="2:8" ht="15.75">
      <c r="B53" s="3"/>
      <c r="C53" s="3"/>
      <c r="D53" s="3"/>
      <c r="E53" s="3"/>
      <c r="F53" s="3"/>
      <c r="G53" s="3"/>
      <c r="H53" s="3"/>
    </row>
    <row r="54" spans="2:8" ht="15.75">
      <c r="B54" s="3"/>
      <c r="C54" s="3"/>
      <c r="D54" s="3"/>
      <c r="E54" s="3"/>
      <c r="F54" s="3"/>
      <c r="G54" s="3"/>
      <c r="H54" s="3"/>
    </row>
    <row r="55" spans="2:8" ht="15.75">
      <c r="B55" s="3"/>
      <c r="C55" s="3"/>
      <c r="D55" s="3"/>
      <c r="E55" s="3"/>
      <c r="F55" s="3"/>
      <c r="G55" s="3"/>
      <c r="H55" s="3"/>
    </row>
  </sheetData>
  <sheetProtection password="CC67" sheet="1" objects="1" scenarios="1"/>
  <mergeCells count="17">
    <mergeCell ref="K31:M31"/>
    <mergeCell ref="C31:H31"/>
    <mergeCell ref="AC4:AF4"/>
    <mergeCell ref="AI4:AL4"/>
    <mergeCell ref="C13:H13"/>
    <mergeCell ref="C22:H22"/>
    <mergeCell ref="C4:H4"/>
    <mergeCell ref="K4:N4"/>
    <mergeCell ref="Q4:T4"/>
    <mergeCell ref="W4:Z4"/>
    <mergeCell ref="K22:M22"/>
    <mergeCell ref="AO13:AR13"/>
    <mergeCell ref="AI13:AK13"/>
    <mergeCell ref="K13:M13"/>
    <mergeCell ref="Q13:S13"/>
    <mergeCell ref="W13:Y13"/>
    <mergeCell ref="AC13:AE13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N8:P55"/>
  <sheetViews>
    <sheetView showGridLines="0" workbookViewId="0" topLeftCell="A1">
      <selection activeCell="G32" sqref="G32"/>
    </sheetView>
  </sheetViews>
  <sheetFormatPr defaultColWidth="8.796875" defaultRowHeight="15"/>
  <sheetData>
    <row r="8" spans="14:15" ht="15">
      <c r="N8" s="64">
        <v>0.00155</v>
      </c>
      <c r="O8" s="64" t="s">
        <v>61</v>
      </c>
    </row>
    <row r="9" spans="14:15" ht="15">
      <c r="N9" s="64">
        <v>0.000775</v>
      </c>
      <c r="O9" s="64" t="s">
        <v>62</v>
      </c>
    </row>
    <row r="10" spans="14:15" ht="15">
      <c r="N10" s="64">
        <v>0.000388</v>
      </c>
      <c r="O10" s="64" t="s">
        <v>63</v>
      </c>
    </row>
    <row r="11" spans="14:15" ht="15">
      <c r="N11" s="64">
        <v>0.000258</v>
      </c>
      <c r="O11" s="64" t="s">
        <v>64</v>
      </c>
    </row>
    <row r="55" ht="15">
      <c r="P55" s="11"/>
    </row>
  </sheetData>
  <sheetProtection password="CC67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Using IPC-2152 to determine Trace Width </dc:title>
  <dc:subject>Current Carrying Capability</dc:subject>
  <dc:creator>Jack Olson and Borko Bozickovic</dc:creator>
  <cp:keywords/>
  <dc:description/>
  <cp:lastModifiedBy>Jack C Olson</cp:lastModifiedBy>
  <cp:lastPrinted>2009-10-15T18:16:58Z</cp:lastPrinted>
  <dcterms:created xsi:type="dcterms:W3CDTF">2009-10-14T12:33:49Z</dcterms:created>
  <dcterms:modified xsi:type="dcterms:W3CDTF">2010-11-02T16:52:16Z</dcterms:modified>
  <cp:category>PCB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